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0" yWindow="5700" windowWidth="14310" windowHeight="9015"/>
  </bookViews>
  <sheets>
    <sheet name="Summary" sheetId="1" r:id="rId1"/>
    <sheet name="Detail" sheetId="2" r:id="rId2"/>
    <sheet name="Request Dates" sheetId="58" r:id="rId3"/>
  </sheets>
  <definedNames>
    <definedName name="_xlnm._FilterDatabase" localSheetId="1" hidden="1">Detail!$A$3:$N$293</definedName>
    <definedName name="_xlnm._FilterDatabase" localSheetId="0" hidden="1">Summary!$A$3:$Q$60</definedName>
    <definedName name="_xlnm.Print_Area" localSheetId="1">Detail!$A$1:$N$292</definedName>
    <definedName name="_xlnm.Print_Area" localSheetId="0">Summary!$A$1:$Q$60</definedName>
    <definedName name="_xlnm.Print_Titles" localSheetId="1">Detail!$1:$3</definedName>
  </definedNames>
  <calcPr calcId="145621"/>
</workbook>
</file>

<file path=xl/calcChain.xml><?xml version="1.0" encoding="utf-8"?>
<calcChain xmlns="http://schemas.openxmlformats.org/spreadsheetml/2006/main">
  <c r="K255" i="2" l="1"/>
  <c r="K217" i="2"/>
  <c r="O217" i="2" s="1"/>
  <c r="K247" i="2"/>
  <c r="O247" i="2"/>
  <c r="K200" i="2"/>
  <c r="O200" i="2" s="1"/>
  <c r="K201" i="2"/>
  <c r="O201" i="2"/>
  <c r="K202" i="2"/>
  <c r="O202" i="2" s="1"/>
  <c r="K203" i="2"/>
  <c r="O203" i="2"/>
  <c r="K204" i="2"/>
  <c r="O204" i="2" s="1"/>
  <c r="K205" i="2"/>
  <c r="O205" i="2"/>
  <c r="K206" i="2"/>
  <c r="O206" i="2" s="1"/>
  <c r="K207" i="2"/>
  <c r="O207" i="2"/>
  <c r="K208" i="2"/>
  <c r="O208" i="2" s="1"/>
  <c r="K209" i="2"/>
  <c r="O209" i="2"/>
  <c r="O210" i="2"/>
  <c r="K211" i="2"/>
  <c r="O211" i="2"/>
  <c r="K212" i="2"/>
  <c r="O212" i="2" s="1"/>
  <c r="K213" i="2"/>
  <c r="O213" i="2" s="1"/>
  <c r="K214" i="2"/>
  <c r="O214" i="2" s="1"/>
  <c r="K215" i="2"/>
  <c r="O215" i="2" s="1"/>
  <c r="O216" i="2"/>
  <c r="K218" i="2"/>
  <c r="O218" i="2"/>
  <c r="O219" i="2"/>
  <c r="K220" i="2"/>
  <c r="O220" i="2"/>
  <c r="O221" i="2"/>
  <c r="K222" i="2"/>
  <c r="O222" i="2" s="1"/>
  <c r="K223" i="2"/>
  <c r="O223" i="2"/>
  <c r="K224" i="2"/>
  <c r="O224" i="2" s="1"/>
  <c r="O225" i="2"/>
  <c r="O226" i="2"/>
  <c r="K227" i="2"/>
  <c r="O227" i="2" s="1"/>
  <c r="O228" i="2"/>
  <c r="O229" i="2"/>
  <c r="O230" i="2"/>
  <c r="O231" i="2"/>
  <c r="K232" i="2"/>
  <c r="O232" i="2" s="1"/>
  <c r="O233" i="2"/>
  <c r="O234" i="2"/>
  <c r="O235" i="2"/>
  <c r="O236" i="2"/>
  <c r="O237" i="2"/>
  <c r="O238" i="2"/>
  <c r="O239" i="2"/>
  <c r="O240" i="2"/>
  <c r="K241" i="2"/>
  <c r="O241" i="2" s="1"/>
  <c r="O242" i="2"/>
  <c r="O243" i="2"/>
  <c r="O244" i="2"/>
  <c r="O245" i="2"/>
  <c r="O246" i="2"/>
  <c r="L248" i="2"/>
  <c r="O248" i="2" s="1"/>
  <c r="O249" i="2"/>
  <c r="K250" i="2"/>
  <c r="O250" i="2"/>
  <c r="O251" i="2"/>
  <c r="O252" i="2"/>
  <c r="K253" i="2"/>
  <c r="O253" i="2"/>
  <c r="O254" i="2"/>
  <c r="H4" i="1"/>
  <c r="A1" i="1"/>
  <c r="C28" i="1"/>
  <c r="O5" i="1"/>
  <c r="P17" i="1"/>
  <c r="P25" i="1"/>
  <c r="O35" i="1"/>
  <c r="J286" i="2"/>
  <c r="P50" i="1"/>
  <c r="P28" i="1"/>
  <c r="H5" i="1"/>
  <c r="J5" i="1" s="1"/>
  <c r="G5" i="1" s="1"/>
  <c r="H6" i="1"/>
  <c r="K6" i="1" s="1"/>
  <c r="H7" i="1"/>
  <c r="K7" i="1" s="1"/>
  <c r="L7" i="1" s="1"/>
  <c r="H8" i="1"/>
  <c r="K8" i="1" s="1"/>
  <c r="H9" i="1"/>
  <c r="K9" i="1" s="1"/>
  <c r="L9" i="1" s="1"/>
  <c r="H10" i="1"/>
  <c r="H11" i="1"/>
  <c r="K11" i="1" s="1"/>
  <c r="H12" i="1"/>
  <c r="K12" i="1"/>
  <c r="L12" i="1" s="1"/>
  <c r="H13" i="1"/>
  <c r="K13" i="1" s="1"/>
  <c r="H14" i="1"/>
  <c r="K14" i="1"/>
  <c r="H15" i="1"/>
  <c r="K15" i="1" s="1"/>
  <c r="L15" i="1" s="1"/>
  <c r="H16" i="1"/>
  <c r="K16" i="1" s="1"/>
  <c r="L16" i="1" s="1"/>
  <c r="H17" i="1"/>
  <c r="J17" i="1" s="1"/>
  <c r="G17" i="1" s="1"/>
  <c r="H18" i="1"/>
  <c r="K18" i="1" s="1"/>
  <c r="L18" i="1" s="1"/>
  <c r="H19" i="1"/>
  <c r="K19" i="1"/>
  <c r="L19" i="1" s="1"/>
  <c r="H20" i="1"/>
  <c r="K20" i="1" s="1"/>
  <c r="L20" i="1" s="1"/>
  <c r="H21" i="1"/>
  <c r="H22" i="1"/>
  <c r="K22" i="1" s="1"/>
  <c r="L22" i="1" s="1"/>
  <c r="H23" i="1"/>
  <c r="K23" i="1" s="1"/>
  <c r="L23" i="1" s="1"/>
  <c r="H24" i="1"/>
  <c r="H25" i="1"/>
  <c r="J25" i="1" s="1"/>
  <c r="G25" i="1" s="1"/>
  <c r="H26" i="1"/>
  <c r="K26" i="1" s="1"/>
  <c r="L26" i="1" s="1"/>
  <c r="H27" i="1"/>
  <c r="K27" i="1" s="1"/>
  <c r="H28" i="1"/>
  <c r="K28" i="1"/>
  <c r="H29" i="1"/>
  <c r="K29" i="1" s="1"/>
  <c r="H30" i="1"/>
  <c r="K30" i="1"/>
  <c r="H31" i="1"/>
  <c r="K31" i="1" s="1"/>
  <c r="H32" i="1"/>
  <c r="H33" i="1"/>
  <c r="H34" i="1"/>
  <c r="K34" i="1" s="1"/>
  <c r="H35" i="1"/>
  <c r="K35" i="1" s="1"/>
  <c r="L35" i="1" s="1"/>
  <c r="H36" i="1"/>
  <c r="K36" i="1" s="1"/>
  <c r="H37" i="1"/>
  <c r="K37" i="1"/>
  <c r="H38" i="1"/>
  <c r="K38" i="1" s="1"/>
  <c r="H39" i="1"/>
  <c r="K39" i="1"/>
  <c r="L39" i="1" s="1"/>
  <c r="H40" i="1"/>
  <c r="K40" i="1" s="1"/>
  <c r="L40" i="1" s="1"/>
  <c r="H41" i="1"/>
  <c r="K41" i="1"/>
  <c r="H42" i="1"/>
  <c r="K42" i="1" s="1"/>
  <c r="L42" i="1" s="1"/>
  <c r="H43" i="1"/>
  <c r="K43" i="1" s="1"/>
  <c r="L43" i="1" s="1"/>
  <c r="H44" i="1"/>
  <c r="H45" i="1"/>
  <c r="J45" i="1" s="1"/>
  <c r="G45" i="1" s="1"/>
  <c r="H46" i="1"/>
  <c r="K46" i="1" s="1"/>
  <c r="L46" i="1" s="1"/>
  <c r="H47" i="1"/>
  <c r="K47" i="1" s="1"/>
  <c r="H48" i="1"/>
  <c r="J48" i="1" s="1"/>
  <c r="G48" i="1" s="1"/>
  <c r="K48" i="1"/>
  <c r="L48" i="1" s="1"/>
  <c r="H49" i="1"/>
  <c r="H50" i="1"/>
  <c r="K50" i="1"/>
  <c r="L50" i="1" s="1"/>
  <c r="H51" i="1"/>
  <c r="K51" i="1" s="1"/>
  <c r="H52" i="1"/>
  <c r="K52" i="1"/>
  <c r="H53" i="1"/>
  <c r="K53" i="1" s="1"/>
  <c r="L53" i="1" s="1"/>
  <c r="H54" i="1"/>
  <c r="K54" i="1" s="1"/>
  <c r="L54" i="1" s="1"/>
  <c r="H55" i="1"/>
  <c r="K55" i="1"/>
  <c r="H56" i="1"/>
  <c r="J56" i="1" s="1"/>
  <c r="G56" i="1" s="1"/>
  <c r="H58" i="1"/>
  <c r="J58" i="1" s="1"/>
  <c r="G58" i="1" s="1"/>
  <c r="I4" i="1"/>
  <c r="I5" i="1"/>
  <c r="I6" i="1"/>
  <c r="I7" i="1"/>
  <c r="I8" i="1"/>
  <c r="I9" i="1"/>
  <c r="I10" i="1"/>
  <c r="J10" i="1" s="1"/>
  <c r="G10" i="1" s="1"/>
  <c r="I11" i="1"/>
  <c r="I12" i="1"/>
  <c r="I13" i="1"/>
  <c r="I14" i="1"/>
  <c r="I15" i="1"/>
  <c r="I16" i="1"/>
  <c r="I17" i="1"/>
  <c r="I18" i="1"/>
  <c r="I19" i="1"/>
  <c r="J19" i="1" s="1"/>
  <c r="G19" i="1" s="1"/>
  <c r="I20" i="1"/>
  <c r="I21" i="1"/>
  <c r="I22" i="1"/>
  <c r="J22" i="1" s="1"/>
  <c r="G22" i="1" s="1"/>
  <c r="I23" i="1"/>
  <c r="I24" i="1"/>
  <c r="I25" i="1"/>
  <c r="I26" i="1"/>
  <c r="I27" i="1"/>
  <c r="I28" i="1"/>
  <c r="I29" i="1"/>
  <c r="I30" i="1"/>
  <c r="L30" i="1" s="1"/>
  <c r="I31" i="1"/>
  <c r="I32" i="1"/>
  <c r="I33" i="1"/>
  <c r="I34" i="1"/>
  <c r="J34" i="1" s="1"/>
  <c r="G34" i="1" s="1"/>
  <c r="I35" i="1"/>
  <c r="I36" i="1"/>
  <c r="I37" i="1"/>
  <c r="I38" i="1"/>
  <c r="L38" i="1" s="1"/>
  <c r="I39" i="1"/>
  <c r="J39" i="1" s="1"/>
  <c r="G39" i="1" s="1"/>
  <c r="I40" i="1"/>
  <c r="I41" i="1"/>
  <c r="I42" i="1"/>
  <c r="I43" i="1"/>
  <c r="I44" i="1"/>
  <c r="I45" i="1"/>
  <c r="I46" i="1"/>
  <c r="I47" i="1"/>
  <c r="J47" i="1" s="1"/>
  <c r="G47" i="1" s="1"/>
  <c r="I48" i="1"/>
  <c r="I49" i="1"/>
  <c r="I50" i="1"/>
  <c r="I51" i="1"/>
  <c r="I52" i="1"/>
  <c r="I53" i="1"/>
  <c r="I54" i="1"/>
  <c r="I55" i="1"/>
  <c r="L55" i="1" s="1"/>
  <c r="I56" i="1"/>
  <c r="I58" i="1"/>
  <c r="C4" i="1"/>
  <c r="C5" i="1"/>
  <c r="C6" i="1"/>
  <c r="C7" i="1"/>
  <c r="C8" i="1"/>
  <c r="C10" i="1"/>
  <c r="C11" i="1"/>
  <c r="C12" i="1"/>
  <c r="C13" i="1"/>
  <c r="C14" i="1"/>
  <c r="C16" i="1"/>
  <c r="C17" i="1"/>
  <c r="C18" i="1"/>
  <c r="C19" i="1"/>
  <c r="C20" i="1"/>
  <c r="C22" i="1"/>
  <c r="C23" i="1"/>
  <c r="C24" i="1"/>
  <c r="C25" i="1"/>
  <c r="C26" i="1"/>
  <c r="C27" i="1"/>
  <c r="C29" i="1"/>
  <c r="C30" i="1"/>
  <c r="C31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50" i="1"/>
  <c r="C51" i="1"/>
  <c r="C52" i="1"/>
  <c r="C54" i="1"/>
  <c r="C55" i="1"/>
  <c r="C56" i="1"/>
  <c r="C57" i="1"/>
  <c r="C60" i="1"/>
  <c r="K137" i="2"/>
  <c r="O137" i="2"/>
  <c r="K161" i="2"/>
  <c r="O161" i="2" s="1"/>
  <c r="K162" i="2"/>
  <c r="O162" i="2" s="1"/>
  <c r="K163" i="2"/>
  <c r="O163" i="2" s="1"/>
  <c r="K164" i="2"/>
  <c r="N30" i="1" s="1"/>
  <c r="O164" i="2"/>
  <c r="K165" i="2"/>
  <c r="O165" i="2" s="1"/>
  <c r="K166" i="2"/>
  <c r="O166" i="2"/>
  <c r="K167" i="2"/>
  <c r="O167" i="2" s="1"/>
  <c r="O168" i="2"/>
  <c r="K169" i="2"/>
  <c r="O169" i="2"/>
  <c r="O170" i="2"/>
  <c r="K171" i="2"/>
  <c r="O171" i="2"/>
  <c r="K172" i="2"/>
  <c r="O172" i="2" s="1"/>
  <c r="K173" i="2"/>
  <c r="O173" i="2" s="1"/>
  <c r="K174" i="2"/>
  <c r="O174" i="2" s="1"/>
  <c r="K175" i="2"/>
  <c r="O175" i="2"/>
  <c r="K176" i="2"/>
  <c r="O176" i="2" s="1"/>
  <c r="K177" i="2"/>
  <c r="O177" i="2"/>
  <c r="O178" i="2"/>
  <c r="O179" i="2"/>
  <c r="K180" i="2"/>
  <c r="O180" i="2"/>
  <c r="K181" i="2"/>
  <c r="O181" i="2" s="1"/>
  <c r="K182" i="2"/>
  <c r="O182" i="2"/>
  <c r="K183" i="2"/>
  <c r="O183" i="2" s="1"/>
  <c r="K184" i="2"/>
  <c r="O184" i="2" s="1"/>
  <c r="K185" i="2"/>
  <c r="O185" i="2" s="1"/>
  <c r="K186" i="2"/>
  <c r="O186" i="2"/>
  <c r="O187" i="2"/>
  <c r="K188" i="2"/>
  <c r="O188" i="2"/>
  <c r="K189" i="2"/>
  <c r="O189" i="2" s="1"/>
  <c r="K190" i="2"/>
  <c r="O190" i="2"/>
  <c r="K191" i="2"/>
  <c r="O191" i="2" s="1"/>
  <c r="K192" i="2"/>
  <c r="O192" i="2" s="1"/>
  <c r="K193" i="2"/>
  <c r="O193" i="2" s="1"/>
  <c r="O194" i="2"/>
  <c r="K195" i="2"/>
  <c r="O195" i="2" s="1"/>
  <c r="K196" i="2"/>
  <c r="O196" i="2" s="1"/>
  <c r="O197" i="2"/>
  <c r="K198" i="2"/>
  <c r="K199" i="2"/>
  <c r="O199" i="2"/>
  <c r="K155" i="2"/>
  <c r="N33" i="1" s="1"/>
  <c r="O155" i="2"/>
  <c r="K146" i="2"/>
  <c r="O146" i="2"/>
  <c r="K147" i="2"/>
  <c r="O147" i="2"/>
  <c r="K150" i="2"/>
  <c r="O150" i="2"/>
  <c r="K145" i="2"/>
  <c r="O145" i="2"/>
  <c r="K114" i="2"/>
  <c r="O114" i="2"/>
  <c r="K157" i="2"/>
  <c r="O157" i="2"/>
  <c r="K87" i="2"/>
  <c r="O87" i="2"/>
  <c r="K142" i="2"/>
  <c r="O142" i="2"/>
  <c r="K134" i="2"/>
  <c r="O134" i="2"/>
  <c r="K88" i="2"/>
  <c r="O88" i="2"/>
  <c r="K149" i="2"/>
  <c r="O149" i="2"/>
  <c r="K148" i="2"/>
  <c r="O148" i="2"/>
  <c r="K131" i="2"/>
  <c r="O131" i="2"/>
  <c r="K158" i="2"/>
  <c r="O158" i="2"/>
  <c r="K156" i="2"/>
  <c r="O156" i="2"/>
  <c r="K159" i="2"/>
  <c r="O159" i="2"/>
  <c r="O59" i="2"/>
  <c r="O65" i="2"/>
  <c r="O66" i="2"/>
  <c r="O71" i="2"/>
  <c r="O73" i="2"/>
  <c r="O75" i="2"/>
  <c r="O81" i="2"/>
  <c r="O82" i="2"/>
  <c r="O92" i="2"/>
  <c r="O121" i="2"/>
  <c r="O122" i="2"/>
  <c r="O126" i="2"/>
  <c r="O128" i="2"/>
  <c r="O132" i="2"/>
  <c r="O133" i="2"/>
  <c r="O152" i="2"/>
  <c r="K151" i="2"/>
  <c r="O151" i="2"/>
  <c r="K154" i="2"/>
  <c r="O154" i="2"/>
  <c r="K94" i="2"/>
  <c r="O94" i="2"/>
  <c r="K95" i="2"/>
  <c r="O95" i="2"/>
  <c r="K96" i="2"/>
  <c r="O96" i="2"/>
  <c r="K97" i="2"/>
  <c r="O97" i="2"/>
  <c r="K98" i="2"/>
  <c r="O98" i="2"/>
  <c r="K99" i="2"/>
  <c r="O99" i="2"/>
  <c r="K100" i="2"/>
  <c r="O100" i="2"/>
  <c r="K101" i="2"/>
  <c r="O101" i="2"/>
  <c r="K102" i="2"/>
  <c r="O102" i="2"/>
  <c r="K103" i="2"/>
  <c r="O103" i="2"/>
  <c r="K104" i="2"/>
  <c r="O104" i="2"/>
  <c r="K105" i="2"/>
  <c r="O105" i="2"/>
  <c r="K106" i="2"/>
  <c r="O106" i="2"/>
  <c r="K107" i="2"/>
  <c r="N51" i="1" s="1"/>
  <c r="O107" i="2"/>
  <c r="K108" i="2"/>
  <c r="O108" i="2"/>
  <c r="K109" i="2"/>
  <c r="O109" i="2"/>
  <c r="K110" i="2"/>
  <c r="O110" i="2"/>
  <c r="K111" i="2"/>
  <c r="O111" i="2"/>
  <c r="K112" i="2"/>
  <c r="O112" i="2"/>
  <c r="K113" i="2"/>
  <c r="O113" i="2"/>
  <c r="K115" i="2"/>
  <c r="O115" i="2"/>
  <c r="K116" i="2"/>
  <c r="O116" i="2"/>
  <c r="K117" i="2"/>
  <c r="O117" i="2"/>
  <c r="K118" i="2"/>
  <c r="O118" i="2"/>
  <c r="K119" i="2"/>
  <c r="O119" i="2"/>
  <c r="K120" i="2"/>
  <c r="O120" i="2"/>
  <c r="K123" i="2"/>
  <c r="O123" i="2"/>
  <c r="K124" i="2"/>
  <c r="O124" i="2"/>
  <c r="K125" i="2"/>
  <c r="O125" i="2"/>
  <c r="K127" i="2"/>
  <c r="O127" i="2"/>
  <c r="K129" i="2"/>
  <c r="O129" i="2"/>
  <c r="K130" i="2"/>
  <c r="O130" i="2"/>
  <c r="K135" i="2"/>
  <c r="O135" i="2"/>
  <c r="K136" i="2"/>
  <c r="O136" i="2"/>
  <c r="K138" i="2"/>
  <c r="O138" i="2"/>
  <c r="K139" i="2"/>
  <c r="O139" i="2"/>
  <c r="K140" i="2"/>
  <c r="O140" i="2"/>
  <c r="K141" i="2"/>
  <c r="O141" i="2"/>
  <c r="K144" i="2"/>
  <c r="O144" i="2"/>
  <c r="K153" i="2"/>
  <c r="O153" i="2"/>
  <c r="K29" i="2"/>
  <c r="O29" i="2"/>
  <c r="O143" i="2"/>
  <c r="O160" i="2"/>
  <c r="E4" i="1"/>
  <c r="K93" i="2"/>
  <c r="O93" i="2"/>
  <c r="K90" i="2"/>
  <c r="N11" i="1" s="1"/>
  <c r="K91" i="2"/>
  <c r="O91" i="2"/>
  <c r="K89" i="2"/>
  <c r="N10" i="1" s="1"/>
  <c r="K84" i="2"/>
  <c r="O84" i="2"/>
  <c r="K60" i="2"/>
  <c r="O60" i="2" s="1"/>
  <c r="K25" i="2"/>
  <c r="O25" i="2"/>
  <c r="K26" i="2"/>
  <c r="N38" i="1" s="1"/>
  <c r="K27" i="2"/>
  <c r="O27" i="2"/>
  <c r="K28" i="2"/>
  <c r="N15" i="1" s="1"/>
  <c r="K30" i="2"/>
  <c r="O30" i="2"/>
  <c r="K31" i="2"/>
  <c r="O31" i="2" s="1"/>
  <c r="K32" i="2"/>
  <c r="K33" i="2"/>
  <c r="O33" i="2" s="1"/>
  <c r="K34" i="2"/>
  <c r="O34" i="2" s="1"/>
  <c r="K35" i="2"/>
  <c r="O35" i="2"/>
  <c r="K36" i="2"/>
  <c r="O36" i="2" s="1"/>
  <c r="K37" i="2"/>
  <c r="O37" i="2"/>
  <c r="K38" i="2"/>
  <c r="N23" i="1" s="1"/>
  <c r="K39" i="2"/>
  <c r="O39" i="2"/>
  <c r="K40" i="2"/>
  <c r="O40" i="2" s="1"/>
  <c r="K41" i="2"/>
  <c r="O41" i="2"/>
  <c r="K42" i="2"/>
  <c r="N36" i="1" s="1"/>
  <c r="K43" i="2"/>
  <c r="O43" i="2"/>
  <c r="K44" i="2"/>
  <c r="O44" i="2" s="1"/>
  <c r="K45" i="2"/>
  <c r="O45" i="2"/>
  <c r="K46" i="2"/>
  <c r="N55" i="1" s="1"/>
  <c r="K47" i="2"/>
  <c r="O47" i="2"/>
  <c r="K48" i="2"/>
  <c r="N45" i="1" s="1"/>
  <c r="K49" i="2"/>
  <c r="O49" i="2"/>
  <c r="K50" i="2"/>
  <c r="N48" i="1" s="1"/>
  <c r="K51" i="2"/>
  <c r="O51" i="2"/>
  <c r="K52" i="2"/>
  <c r="N32" i="1" s="1"/>
  <c r="K53" i="2"/>
  <c r="O53" i="2"/>
  <c r="K54" i="2"/>
  <c r="O54" i="2" s="1"/>
  <c r="K55" i="2"/>
  <c r="O55" i="2"/>
  <c r="K56" i="2"/>
  <c r="O56" i="2" s="1"/>
  <c r="K5" i="2"/>
  <c r="O5" i="2"/>
  <c r="K6" i="2"/>
  <c r="K7" i="2"/>
  <c r="K8" i="2"/>
  <c r="O8" i="2"/>
  <c r="K9" i="2"/>
  <c r="O9" i="2" s="1"/>
  <c r="K10" i="2"/>
  <c r="K11" i="2"/>
  <c r="O11" i="2"/>
  <c r="K12" i="2"/>
  <c r="K13" i="2"/>
  <c r="O13" i="2"/>
  <c r="K14" i="2"/>
  <c r="O14" i="2" s="1"/>
  <c r="K15" i="2"/>
  <c r="O15" i="2"/>
  <c r="K16" i="2"/>
  <c r="O16" i="2" s="1"/>
  <c r="K17" i="2"/>
  <c r="O17" i="2" s="1"/>
  <c r="K18" i="2"/>
  <c r="O18" i="2" s="1"/>
  <c r="K19" i="2"/>
  <c r="O19" i="2"/>
  <c r="K20" i="2"/>
  <c r="O20" i="2" s="1"/>
  <c r="K21" i="2"/>
  <c r="O21" i="2"/>
  <c r="K22" i="2"/>
  <c r="O22" i="2" s="1"/>
  <c r="K23" i="2"/>
  <c r="O23" i="2"/>
  <c r="K24" i="2"/>
  <c r="K57" i="2"/>
  <c r="O57" i="2" s="1"/>
  <c r="K58" i="2"/>
  <c r="O58" i="2" s="1"/>
  <c r="K61" i="2"/>
  <c r="O61" i="2"/>
  <c r="K62" i="2"/>
  <c r="O62" i="2" s="1"/>
  <c r="K63" i="2"/>
  <c r="O63" i="2"/>
  <c r="K64" i="2"/>
  <c r="O64" i="2" s="1"/>
  <c r="K67" i="2"/>
  <c r="O67" i="2"/>
  <c r="K68" i="2"/>
  <c r="O68" i="2" s="1"/>
  <c r="K69" i="2"/>
  <c r="O69" i="2" s="1"/>
  <c r="K70" i="2"/>
  <c r="O70" i="2" s="1"/>
  <c r="K72" i="2"/>
  <c r="O72" i="2"/>
  <c r="K74" i="2"/>
  <c r="O74" i="2" s="1"/>
  <c r="K76" i="2"/>
  <c r="O76" i="2"/>
  <c r="K77" i="2"/>
  <c r="O77" i="2" s="1"/>
  <c r="K78" i="2"/>
  <c r="O78" i="2"/>
  <c r="K79" i="2"/>
  <c r="O79" i="2" s="1"/>
  <c r="K80" i="2"/>
  <c r="O80" i="2" s="1"/>
  <c r="K83" i="2"/>
  <c r="O83" i="2" s="1"/>
  <c r="K85" i="2"/>
  <c r="O85" i="2"/>
  <c r="K86" i="2"/>
  <c r="O86" i="2" s="1"/>
  <c r="K4" i="2"/>
  <c r="O4" i="2"/>
  <c r="A1" i="58"/>
  <c r="P32" i="1"/>
  <c r="O4" i="1"/>
  <c r="P38" i="1"/>
  <c r="D5" i="1"/>
  <c r="F5" i="1" s="1"/>
  <c r="E5" i="1"/>
  <c r="M5" i="1"/>
  <c r="N5" i="1"/>
  <c r="P5" i="1"/>
  <c r="Q5" i="1"/>
  <c r="D6" i="1"/>
  <c r="E6" i="1"/>
  <c r="F6" i="1" s="1"/>
  <c r="M6" i="1"/>
  <c r="O6" i="1"/>
  <c r="P6" i="1"/>
  <c r="Q6" i="1"/>
  <c r="D7" i="1"/>
  <c r="F7" i="1" s="1"/>
  <c r="E7" i="1"/>
  <c r="M7" i="1"/>
  <c r="O7" i="1"/>
  <c r="P7" i="1"/>
  <c r="Q7" i="1"/>
  <c r="D8" i="1"/>
  <c r="E8" i="1"/>
  <c r="M8" i="1"/>
  <c r="O8" i="1"/>
  <c r="Q8" i="1"/>
  <c r="D9" i="1"/>
  <c r="E9" i="1"/>
  <c r="F9" i="1" s="1"/>
  <c r="M9" i="1"/>
  <c r="P9" i="1"/>
  <c r="Q9" i="1"/>
  <c r="D10" i="1"/>
  <c r="F10" i="1" s="1"/>
  <c r="E10" i="1"/>
  <c r="M10" i="1"/>
  <c r="O10" i="1"/>
  <c r="P10" i="1"/>
  <c r="Q10" i="1"/>
  <c r="D11" i="1"/>
  <c r="E11" i="1"/>
  <c r="M11" i="1"/>
  <c r="O11" i="1"/>
  <c r="P11" i="1"/>
  <c r="Q11" i="1"/>
  <c r="D12" i="1"/>
  <c r="F12" i="1" s="1"/>
  <c r="E12" i="1"/>
  <c r="M12" i="1"/>
  <c r="P12" i="1"/>
  <c r="Q12" i="1"/>
  <c r="D13" i="1"/>
  <c r="E13" i="1"/>
  <c r="M13" i="1"/>
  <c r="O13" i="1"/>
  <c r="Q13" i="1"/>
  <c r="D14" i="1"/>
  <c r="E14" i="1"/>
  <c r="M14" i="1"/>
  <c r="O14" i="1"/>
  <c r="Q14" i="1"/>
  <c r="D15" i="1"/>
  <c r="E15" i="1"/>
  <c r="M15" i="1"/>
  <c r="O15" i="1"/>
  <c r="P15" i="1"/>
  <c r="Q15" i="1"/>
  <c r="D16" i="1"/>
  <c r="E16" i="1"/>
  <c r="M16" i="1"/>
  <c r="O16" i="1"/>
  <c r="Q16" i="1"/>
  <c r="D17" i="1"/>
  <c r="E17" i="1"/>
  <c r="M17" i="1"/>
  <c r="O17" i="1"/>
  <c r="Q17" i="1"/>
  <c r="D18" i="1"/>
  <c r="E18" i="1"/>
  <c r="F18" i="1" s="1"/>
  <c r="M18" i="1"/>
  <c r="O18" i="1"/>
  <c r="Q18" i="1"/>
  <c r="D19" i="1"/>
  <c r="F19" i="1" s="1"/>
  <c r="E19" i="1"/>
  <c r="M19" i="1"/>
  <c r="O19" i="1"/>
  <c r="P19" i="1"/>
  <c r="Q19" i="1"/>
  <c r="D20" i="1"/>
  <c r="E20" i="1"/>
  <c r="R20" i="1" s="1"/>
  <c r="M20" i="1"/>
  <c r="O20" i="1"/>
  <c r="Q20" i="1"/>
  <c r="D21" i="1"/>
  <c r="E21" i="1"/>
  <c r="M21" i="1"/>
  <c r="O21" i="1"/>
  <c r="P21" i="1"/>
  <c r="Q21" i="1"/>
  <c r="D22" i="1"/>
  <c r="E22" i="1"/>
  <c r="F22" i="1" s="1"/>
  <c r="M22" i="1"/>
  <c r="O22" i="1"/>
  <c r="P22" i="1"/>
  <c r="Q22" i="1"/>
  <c r="D23" i="1"/>
  <c r="E23" i="1"/>
  <c r="F23" i="1" s="1"/>
  <c r="M23" i="1"/>
  <c r="O23" i="1"/>
  <c r="P23" i="1"/>
  <c r="Q23" i="1"/>
  <c r="D24" i="1"/>
  <c r="E24" i="1"/>
  <c r="M24" i="1"/>
  <c r="O24" i="1"/>
  <c r="P24" i="1"/>
  <c r="Q24" i="1"/>
  <c r="D25" i="1"/>
  <c r="E25" i="1"/>
  <c r="M25" i="1"/>
  <c r="O25" i="1"/>
  <c r="Q25" i="1"/>
  <c r="D26" i="1"/>
  <c r="F26" i="1" s="1"/>
  <c r="E26" i="1"/>
  <c r="M26" i="1"/>
  <c r="O26" i="1"/>
  <c r="P26" i="1"/>
  <c r="Q26" i="1"/>
  <c r="D27" i="1"/>
  <c r="E27" i="1"/>
  <c r="M27" i="1"/>
  <c r="K291" i="2"/>
  <c r="O27" i="1"/>
  <c r="P27" i="1"/>
  <c r="Q27" i="1"/>
  <c r="D28" i="1"/>
  <c r="E28" i="1"/>
  <c r="M28" i="1"/>
  <c r="O28" i="1"/>
  <c r="Q28" i="1"/>
  <c r="D29" i="1"/>
  <c r="E29" i="1"/>
  <c r="M29" i="1"/>
  <c r="O29" i="1"/>
  <c r="P29" i="1"/>
  <c r="Q29" i="1"/>
  <c r="D30" i="1"/>
  <c r="F30" i="1" s="1"/>
  <c r="E30" i="1"/>
  <c r="M30" i="1"/>
  <c r="O30" i="1"/>
  <c r="P30" i="1"/>
  <c r="Q30" i="1"/>
  <c r="D31" i="1"/>
  <c r="E31" i="1"/>
  <c r="M31" i="1"/>
  <c r="O31" i="1"/>
  <c r="P31" i="1"/>
  <c r="Q31" i="1"/>
  <c r="D32" i="1"/>
  <c r="F32" i="1" s="1"/>
  <c r="E32" i="1"/>
  <c r="M32" i="1"/>
  <c r="O32" i="1"/>
  <c r="Q32" i="1"/>
  <c r="D33" i="1"/>
  <c r="E33" i="1"/>
  <c r="F33" i="1" s="1"/>
  <c r="M33" i="1"/>
  <c r="R33" i="1" s="1"/>
  <c r="P33" i="1"/>
  <c r="Q33" i="1"/>
  <c r="D34" i="1"/>
  <c r="E34" i="1"/>
  <c r="M34" i="1"/>
  <c r="O34" i="1"/>
  <c r="P34" i="1"/>
  <c r="Q34" i="1"/>
  <c r="D35" i="1"/>
  <c r="F35" i="1" s="1"/>
  <c r="E35" i="1"/>
  <c r="M35" i="1"/>
  <c r="P35" i="1"/>
  <c r="Q35" i="1"/>
  <c r="D36" i="1"/>
  <c r="E36" i="1"/>
  <c r="M36" i="1"/>
  <c r="O36" i="1"/>
  <c r="P36" i="1"/>
  <c r="Q36" i="1"/>
  <c r="D37" i="1"/>
  <c r="E37" i="1"/>
  <c r="M37" i="1"/>
  <c r="O37" i="1"/>
  <c r="P37" i="1"/>
  <c r="Q37" i="1"/>
  <c r="D38" i="1"/>
  <c r="E38" i="1"/>
  <c r="M38" i="1"/>
  <c r="O38" i="1"/>
  <c r="Q38" i="1"/>
  <c r="D39" i="1"/>
  <c r="E39" i="1"/>
  <c r="M39" i="1"/>
  <c r="O39" i="1"/>
  <c r="P39" i="1"/>
  <c r="Q39" i="1"/>
  <c r="D40" i="1"/>
  <c r="E40" i="1"/>
  <c r="M40" i="1"/>
  <c r="O40" i="1"/>
  <c r="P40" i="1"/>
  <c r="Q40" i="1"/>
  <c r="D41" i="1"/>
  <c r="E41" i="1"/>
  <c r="M41" i="1"/>
  <c r="O41" i="1"/>
  <c r="P41" i="1"/>
  <c r="Q41" i="1"/>
  <c r="D42" i="1"/>
  <c r="E42" i="1"/>
  <c r="M42" i="1"/>
  <c r="N42" i="1"/>
  <c r="O42" i="1"/>
  <c r="Q42" i="1"/>
  <c r="D43" i="1"/>
  <c r="E43" i="1"/>
  <c r="M43" i="1"/>
  <c r="O43" i="1"/>
  <c r="P43" i="1"/>
  <c r="Q43" i="1"/>
  <c r="D44" i="1"/>
  <c r="F44" i="1" s="1"/>
  <c r="E44" i="1"/>
  <c r="M44" i="1"/>
  <c r="O44" i="1"/>
  <c r="P44" i="1"/>
  <c r="Q44" i="1"/>
  <c r="D45" i="1"/>
  <c r="E45" i="1"/>
  <c r="M45" i="1"/>
  <c r="O45" i="1"/>
  <c r="Q45" i="1"/>
  <c r="D46" i="1"/>
  <c r="E46" i="1"/>
  <c r="M46" i="1"/>
  <c r="O46" i="1"/>
  <c r="P46" i="1"/>
  <c r="Q46" i="1"/>
  <c r="D47" i="1"/>
  <c r="E47" i="1"/>
  <c r="M47" i="1"/>
  <c r="O47" i="1"/>
  <c r="Q47" i="1"/>
  <c r="D48" i="1"/>
  <c r="E48" i="1"/>
  <c r="F48" i="1" s="1"/>
  <c r="M48" i="1"/>
  <c r="O48" i="1"/>
  <c r="P48" i="1"/>
  <c r="Q48" i="1"/>
  <c r="D49" i="1"/>
  <c r="F49" i="1" s="1"/>
  <c r="E49" i="1"/>
  <c r="M49" i="1"/>
  <c r="O49" i="1"/>
  <c r="P49" i="1"/>
  <c r="Q49" i="1"/>
  <c r="D50" i="1"/>
  <c r="E50" i="1"/>
  <c r="M50" i="1"/>
  <c r="O50" i="1"/>
  <c r="Q50" i="1"/>
  <c r="D51" i="1"/>
  <c r="E51" i="1"/>
  <c r="M51" i="1"/>
  <c r="O51" i="1"/>
  <c r="P51" i="1"/>
  <c r="Q51" i="1"/>
  <c r="D52" i="1"/>
  <c r="E52" i="1"/>
  <c r="M52" i="1"/>
  <c r="O52" i="1"/>
  <c r="P52" i="1"/>
  <c r="Q52" i="1"/>
  <c r="D53" i="1"/>
  <c r="E53" i="1"/>
  <c r="M53" i="1"/>
  <c r="N53" i="1"/>
  <c r="O53" i="1"/>
  <c r="Q53" i="1"/>
  <c r="D54" i="1"/>
  <c r="E54" i="1"/>
  <c r="F54" i="1" s="1"/>
  <c r="M54" i="1"/>
  <c r="N54" i="1"/>
  <c r="O54" i="1"/>
  <c r="Q54" i="1"/>
  <c r="D55" i="1"/>
  <c r="E55" i="1"/>
  <c r="F55" i="1" s="1"/>
  <c r="M55" i="1"/>
  <c r="O55" i="1"/>
  <c r="P55" i="1"/>
  <c r="Q55" i="1"/>
  <c r="D56" i="1"/>
  <c r="E56" i="1"/>
  <c r="F56" i="1" s="1"/>
  <c r="M56" i="1"/>
  <c r="P56" i="1"/>
  <c r="Q56" i="1"/>
  <c r="D4" i="1"/>
  <c r="M4" i="1"/>
  <c r="M57" i="1" s="1"/>
  <c r="M60" i="1" s="1"/>
  <c r="Q4" i="1"/>
  <c r="Q58" i="1"/>
  <c r="P58" i="1"/>
  <c r="O58" i="1"/>
  <c r="N58" i="1"/>
  <c r="E58" i="1"/>
  <c r="D58" i="1"/>
  <c r="N286" i="2"/>
  <c r="N292" i="2" s="1"/>
  <c r="I286" i="2"/>
  <c r="I292" i="2" s="1"/>
  <c r="H286" i="2"/>
  <c r="G286" i="2"/>
  <c r="G292" i="2" s="1"/>
  <c r="F286" i="2"/>
  <c r="F291" i="2"/>
  <c r="F292" i="2" s="1"/>
  <c r="G291" i="2"/>
  <c r="H291" i="2"/>
  <c r="I291" i="2"/>
  <c r="J291" i="2"/>
  <c r="J292" i="2" s="1"/>
  <c r="L291" i="2"/>
  <c r="M291" i="2"/>
  <c r="N291" i="2"/>
  <c r="N8" i="1"/>
  <c r="P4" i="1"/>
  <c r="K10" i="1"/>
  <c r="O56" i="1"/>
  <c r="J50" i="1"/>
  <c r="G50" i="1" s="1"/>
  <c r="J38" i="1"/>
  <c r="G38" i="1" s="1"/>
  <c r="J30" i="1"/>
  <c r="G30" i="1" s="1"/>
  <c r="J14" i="1"/>
  <c r="G14" i="1" s="1"/>
  <c r="O9" i="1"/>
  <c r="P45" i="1"/>
  <c r="L52" i="1"/>
  <c r="J44" i="1"/>
  <c r="G44" i="1" s="1"/>
  <c r="L28" i="1"/>
  <c r="L8" i="1"/>
  <c r="N46" i="1"/>
  <c r="N12" i="1"/>
  <c r="N47" i="1"/>
  <c r="N20" i="1"/>
  <c r="P13" i="1"/>
  <c r="P47" i="1"/>
  <c r="P16" i="1"/>
  <c r="N43" i="1"/>
  <c r="O33" i="1"/>
  <c r="O7" i="2"/>
  <c r="P18" i="1"/>
  <c r="M286" i="2"/>
  <c r="M292" i="2" s="1"/>
  <c r="H292" i="2"/>
  <c r="N52" i="1"/>
  <c r="O12" i="1"/>
  <c r="O12" i="2"/>
  <c r="N6" i="1"/>
  <c r="R6" i="1" s="1"/>
  <c r="O10" i="2"/>
  <c r="J51" i="1"/>
  <c r="G51" i="1" s="1"/>
  <c r="J27" i="1"/>
  <c r="G27" i="1" s="1"/>
  <c r="J36" i="1"/>
  <c r="G36" i="1"/>
  <c r="N40" i="1"/>
  <c r="P42" i="1"/>
  <c r="N35" i="1"/>
  <c r="P20" i="1"/>
  <c r="O32" i="2"/>
  <c r="N29" i="1"/>
  <c r="N44" i="1"/>
  <c r="P54" i="1"/>
  <c r="P53" i="1"/>
  <c r="K44" i="1"/>
  <c r="L44" i="1" s="1"/>
  <c r="N28" i="1"/>
  <c r="N26" i="1"/>
  <c r="F25" i="1"/>
  <c r="P8" i="1"/>
  <c r="K4" i="1"/>
  <c r="L4" i="1" s="1"/>
  <c r="J4" i="1"/>
  <c r="G4" i="1" s="1"/>
  <c r="P14" i="1"/>
  <c r="N19" i="1"/>
  <c r="F16" i="1"/>
  <c r="L11" i="1"/>
  <c r="L41" i="1"/>
  <c r="L37" i="1"/>
  <c r="J33" i="1"/>
  <c r="G33" i="1" s="1"/>
  <c r="L29" i="1"/>
  <c r="J21" i="1"/>
  <c r="G21" i="1"/>
  <c r="L13" i="1"/>
  <c r="J7" i="1"/>
  <c r="G7" i="1" s="1"/>
  <c r="J28" i="1"/>
  <c r="G28" i="1" s="1"/>
  <c r="F58" i="1"/>
  <c r="J11" i="1"/>
  <c r="G11" i="1" s="1"/>
  <c r="J23" i="1"/>
  <c r="G23" i="1" s="1"/>
  <c r="K17" i="1"/>
  <c r="L17" i="1" s="1"/>
  <c r="K33" i="1"/>
  <c r="L33" i="1" s="1"/>
  <c r="K21" i="1"/>
  <c r="L21" i="1" s="1"/>
  <c r="K49" i="1"/>
  <c r="L49" i="1"/>
  <c r="J49" i="1"/>
  <c r="G49" i="1" s="1"/>
  <c r="K25" i="1"/>
  <c r="L25" i="1" s="1"/>
  <c r="L27" i="1"/>
  <c r="J29" i="1"/>
  <c r="G29" i="1" s="1"/>
  <c r="J41" i="1"/>
  <c r="G41" i="1" s="1"/>
  <c r="J8" i="1"/>
  <c r="G8" i="1" s="1"/>
  <c r="J12" i="1"/>
  <c r="G12" i="1" s="1"/>
  <c r="F38" i="1"/>
  <c r="L6" i="1"/>
  <c r="K56" i="1"/>
  <c r="L56" i="1" s="1"/>
  <c r="J52" i="1"/>
  <c r="G52" i="1" s="1"/>
  <c r="L36" i="1"/>
  <c r="K32" i="1"/>
  <c r="L32" i="1" s="1"/>
  <c r="J32" i="1"/>
  <c r="G32" i="1"/>
  <c r="K24" i="1"/>
  <c r="L24" i="1" s="1"/>
  <c r="J24" i="1"/>
  <c r="G24" i="1" s="1"/>
  <c r="J16" i="1"/>
  <c r="G16" i="1"/>
  <c r="K45" i="1"/>
  <c r="L45" i="1"/>
  <c r="J13" i="1"/>
  <c r="G13" i="1"/>
  <c r="J37" i="1"/>
  <c r="G37" i="1" s="1"/>
  <c r="K5" i="1" l="1"/>
  <c r="L5" i="1" s="1"/>
  <c r="K286" i="2"/>
  <c r="K292" i="2" s="1"/>
  <c r="N31" i="1"/>
  <c r="R31" i="1" s="1"/>
  <c r="L51" i="1"/>
  <c r="L31" i="1"/>
  <c r="J35" i="1"/>
  <c r="G35" i="1" s="1"/>
  <c r="J9" i="1"/>
  <c r="G9" i="1" s="1"/>
  <c r="N7" i="1"/>
  <c r="J55" i="1"/>
  <c r="G55" i="1" s="1"/>
  <c r="N25" i="1"/>
  <c r="R25" i="1" s="1"/>
  <c r="L286" i="2"/>
  <c r="L292" i="2" s="1"/>
  <c r="N14" i="1"/>
  <c r="J18" i="1"/>
  <c r="G18" i="1" s="1"/>
  <c r="N9" i="1"/>
  <c r="R9" i="1" s="1"/>
  <c r="I57" i="1"/>
  <c r="I60" i="1" s="1"/>
  <c r="J20" i="1"/>
  <c r="G20" i="1" s="1"/>
  <c r="J31" i="1"/>
  <c r="G31" i="1" s="1"/>
  <c r="L47" i="1"/>
  <c r="J53" i="1"/>
  <c r="G53" i="1" s="1"/>
  <c r="N37" i="1"/>
  <c r="N27" i="1"/>
  <c r="J15" i="1"/>
  <c r="G15" i="1" s="1"/>
  <c r="J43" i="1"/>
  <c r="G43" i="1" s="1"/>
  <c r="J6" i="1"/>
  <c r="G6" i="1" s="1"/>
  <c r="J26" i="1"/>
  <c r="G26" i="1" s="1"/>
  <c r="J42" i="1"/>
  <c r="G42" i="1" s="1"/>
  <c r="L10" i="1"/>
  <c r="R52" i="1"/>
  <c r="R51" i="1"/>
  <c r="F50" i="1"/>
  <c r="F41" i="1"/>
  <c r="R38" i="1"/>
  <c r="F31" i="1"/>
  <c r="R29" i="1"/>
  <c r="F27" i="1"/>
  <c r="R23" i="1"/>
  <c r="F20" i="1"/>
  <c r="F14" i="1"/>
  <c r="R12" i="1"/>
  <c r="F11" i="1"/>
  <c r="R10" i="1"/>
  <c r="Q57" i="1"/>
  <c r="Q60" i="1" s="1"/>
  <c r="R7" i="1"/>
  <c r="R5" i="1"/>
  <c r="O57" i="1"/>
  <c r="O60" i="1" s="1"/>
  <c r="J40" i="1"/>
  <c r="G40" i="1" s="1"/>
  <c r="N13" i="1"/>
  <c r="R13" i="1" s="1"/>
  <c r="N21" i="1"/>
  <c r="R44" i="1"/>
  <c r="N17" i="1"/>
  <c r="R17" i="1" s="1"/>
  <c r="N4" i="1"/>
  <c r="R4" i="1" s="1"/>
  <c r="N49" i="1"/>
  <c r="J46" i="1"/>
  <c r="G46" i="1" s="1"/>
  <c r="P57" i="1"/>
  <c r="P60" i="1" s="1"/>
  <c r="O6" i="2"/>
  <c r="O52" i="2"/>
  <c r="O50" i="2"/>
  <c r="O48" i="2"/>
  <c r="O46" i="2"/>
  <c r="O42" i="2"/>
  <c r="O38" i="2"/>
  <c r="O28" i="2"/>
  <c r="O26" i="2"/>
  <c r="O89" i="2"/>
  <c r="O90" i="2"/>
  <c r="F52" i="1"/>
  <c r="R55" i="1"/>
  <c r="F53" i="1"/>
  <c r="F51" i="1"/>
  <c r="F46" i="1"/>
  <c r="R37" i="1"/>
  <c r="R21" i="1"/>
  <c r="F15" i="1"/>
  <c r="O198" i="2"/>
  <c r="R30" i="1"/>
  <c r="R19" i="1"/>
  <c r="R8" i="1"/>
  <c r="R15" i="1"/>
  <c r="R53" i="1"/>
  <c r="R49" i="1"/>
  <c r="F47" i="1"/>
  <c r="R40" i="1"/>
  <c r="R36" i="1"/>
  <c r="R16" i="1"/>
  <c r="H57" i="1"/>
  <c r="R43" i="1"/>
  <c r="F43" i="1"/>
  <c r="R14" i="1"/>
  <c r="N16" i="1"/>
  <c r="F29" i="1"/>
  <c r="R54" i="1"/>
  <c r="R35" i="1"/>
  <c r="R32" i="1"/>
  <c r="R28" i="1"/>
  <c r="R26" i="1"/>
  <c r="F24" i="1"/>
  <c r="F37" i="1"/>
  <c r="D57" i="1"/>
  <c r="F36" i="1"/>
  <c r="R46" i="1"/>
  <c r="E57" i="1"/>
  <c r="E60" i="1" s="1"/>
  <c r="F28" i="1"/>
  <c r="F13" i="1"/>
  <c r="F39" i="1"/>
  <c r="F21" i="1"/>
  <c r="F40" i="1"/>
  <c r="F34" i="1"/>
  <c r="N18" i="1"/>
  <c r="R18" i="1" s="1"/>
  <c r="R27" i="1"/>
  <c r="N39" i="1"/>
  <c r="R39" i="1" s="1"/>
  <c r="N50" i="1"/>
  <c r="R50" i="1" s="1"/>
  <c r="J54" i="1"/>
  <c r="G54" i="1" s="1"/>
  <c r="O24" i="2"/>
  <c r="N41" i="1"/>
  <c r="R41" i="1" s="1"/>
  <c r="L34" i="1"/>
  <c r="L14" i="1"/>
  <c r="O255" i="2"/>
  <c r="N56" i="1"/>
  <c r="R56" i="1" s="1"/>
  <c r="R48" i="1"/>
  <c r="R45" i="1"/>
  <c r="R11" i="1"/>
  <c r="F17" i="1"/>
  <c r="F45" i="1"/>
  <c r="N22" i="1"/>
  <c r="R22" i="1" s="1"/>
  <c r="N24" i="1"/>
  <c r="R24" i="1" s="1"/>
  <c r="R42" i="1"/>
  <c r="R47" i="1"/>
  <c r="F4" i="1"/>
  <c r="F8" i="1"/>
  <c r="F42" i="1"/>
  <c r="N34" i="1"/>
  <c r="R34" i="1" s="1"/>
  <c r="N57" i="1" l="1"/>
  <c r="N60" i="1" s="1"/>
  <c r="H60" i="1"/>
  <c r="J60" i="1" s="1"/>
  <c r="G60" i="1" s="1"/>
  <c r="J57" i="1"/>
  <c r="G57" i="1" s="1"/>
  <c r="D60" i="1"/>
  <c r="F60" i="1" s="1"/>
  <c r="F57" i="1"/>
</calcChain>
</file>

<file path=xl/comments1.xml><?xml version="1.0" encoding="utf-8"?>
<comments xmlns="http://schemas.openxmlformats.org/spreadsheetml/2006/main">
  <authors>
    <author>Mandalyn McGrath</author>
  </authors>
  <commentList>
    <comment ref="C4" authorId="0">
      <text>
        <r>
          <rPr>
            <sz val="9"/>
            <color indexed="81"/>
            <rFont val="Tahoma"/>
            <family val="2"/>
          </rPr>
          <t>05/06/2015 - J. Ellington Approved -15,000 reallocation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-15,000 reallocation 
02/03/2015 - J. Ellington Approved -30,000 reallocation
04/01/2015 - J. Ellington Approved -10,000 reallocation
05/06/2015 - J. Ellington approved -5,000 reallocation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-30,000 reallocation.
06/26/2015 - J. Ellington approved 17,000 reallocation.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05/13/2015 - J. Ellington approved 25,000 reallocation.
06/29/2015 - J. Ellington approved 15,000 reallocation.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02/03/2015 - J.Ellington Approved -20,000 reallocation
05/06/2015 - J. Ellington approved -30,700 reallocation.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-10,200 reallocation.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01/12/2015 - J.Ellington Approved -20,000 reallocation
05/06/2015 - J. Ellington approved -24,400 reallocation.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-103,000 reallocation.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12/09/2014 - J. Ellington approved 25,000 reallocation
05/13/2015 - J. Ellington approved 160,000 reallocation
07/17/2015 - J. Ellington approved 21,500 reallocation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05/29/2015 J. Ellington Approved 50,000 reallocation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-25,000 reallocation.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-56,400 
reallocation.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-20,000 reallocation
02/03/2015 - J. Ellington Approved -10,000 reallocation
04/01/2015 - J. Ellington Approved -20,000 reallocation
05/06/2015 - J. Ellington approved -20,000 reallocation.
06/26/2015 - J. Ellington approved -4,500 reallocation.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05/13/2015 - J. Ellington approved 20,000 reallocation
06/02/2015 J. Ellington approveed 20,000 reallocation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06/25/2015 - J. Ellington Approved +25,000 reallocation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+40,000 reallocation
02/03/2015 - J. Ellington Approved +60,000 reallocation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60,000 reallocation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01/13/2015 - J.Ellington Approved 20,000 reallocation
05/13/2015 - J. Ellington approved 15,000 reallocation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-25,000 reallocation
12/09/2014 - J. Ellington Approved -25,000 reallocation
05/06/2015 - J. Ellington approved -10,000 reallocation
07/24/2015 - J. Ellington approved 3,400 reallocation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-20,000 reallocation
02/03/2015 - J. Ellington Approved +20,000 reallocation
04/01/2015 - J. Ellington Approved +40,000 reallocation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09/30/2015 - J. Ellington Approved +23,200 reallocation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-10,000 reallocation.
06/26/2015 - J. Ellington approved -1,000 reallocation.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-10,000 reallocation.
06/26/2015 - J. Ellington approved -1,000 reallocation.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2/20/2015 - J.Ellington Approved 50,000 reallocation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-29,150 reallocation.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-14,800 reallocation.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12/18/2014 - J.Ellington Approved -50,000 reallocation
05/29/2015 - J. Ellington Approved -38,000</t>
        </r>
      </text>
    </comment>
    <comment ref="C36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06/26/2015 - J. Ellington approved -3,000 reallocation.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-10,000 reallocation
06/26/2015 - J. Ellington approved 9,000 reallocation.</t>
        </r>
      </text>
    </comment>
    <comment ref="C38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05/29/2015 J. Ellington Approved -75,000 Reallocation
06/25/2015 - J. Ellington Approved +10,000 reallocation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12/18/2014 - J.Ellington Approved 50,000 reallocation
2/20/2015 - J.Ellington Approved 50,000 reallocation
05/13/2015 - J. Ellington approved 120,000 reallocation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02/03/2015 - J.Ellington Approved -20,000 reallocation
05/06/2015 - J. Ellington approved -18,000 reallocation.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-70,000 reallocation.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10/22/2014 - J.Ellington Approved -10,000 reallocation
02/03/2015 - J. Ellington Approved -30,000 reallocation
04/01/2015 - J. Ellington Approved -10,000 reallocation
05/06/2015 - J. Ellington approved -15,000 reallocation.
06/26/2015 - J. Ellington approved -3,500 reallocation.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Mandalyn McGrath:</t>
        </r>
        <r>
          <rPr>
            <sz val="9"/>
            <color indexed="81"/>
            <rFont val="Tahoma"/>
            <charset val="1"/>
          </rPr>
          <t xml:space="preserve">
06/26/2015 - J. Ellington approved -5,000 reallocation.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-20,000 reallocation.
06/26/2015 - J. Ellington approved -3,000 reallocation.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-28,000 reallocation.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-25,000 reallocation.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2/20/2015 - J.Ellington Approved -50,000 reallocation
05/06/2015 - J. Ellington approved -15,000 reallocation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02/03/2015 - J. Ellington Approved -10,000 reallocation
05/06/2015 - J. Ellington approved -15,000 reallocation
06/26/2015 - J. Ellington approved -1,000 reallocation.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-12,500 reallocation.
06/26/2015 - J. Ellington approved -1,000 reallocation.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05/13/2015 - J. Ellington approved 60,000 reallocation</t>
        </r>
      </text>
    </comment>
    <comment ref="C55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05/06/2015 - J. Ellington approved -12,500 reallocation.
06/26/2015 - J. Ellington approved -1,500 reallocation.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Mandalyn McGrath:</t>
        </r>
        <r>
          <rPr>
            <sz val="9"/>
            <color indexed="81"/>
            <rFont val="Tahoma"/>
            <family val="2"/>
          </rPr>
          <t xml:space="preserve">
01/12/2015 - J.Ellington Approved -30,000 reallocation
05/06/2015 - J. Ellington approved -16,200 reallocation</t>
        </r>
      </text>
    </comment>
  </commentList>
</comments>
</file>

<file path=xl/sharedStrings.xml><?xml version="1.0" encoding="utf-8"?>
<sst xmlns="http://schemas.openxmlformats.org/spreadsheetml/2006/main" count="1134" uniqueCount="157">
  <si>
    <t>State</t>
  </si>
  <si>
    <t>Program Name</t>
  </si>
  <si>
    <t>Budget</t>
  </si>
  <si>
    <t>Requested</t>
  </si>
  <si>
    <t>Program Costs</t>
  </si>
  <si>
    <t>Paid</t>
  </si>
  <si>
    <t>Perkins School for the Blind</t>
  </si>
  <si>
    <t>AZ</t>
  </si>
  <si>
    <t>MA</t>
  </si>
  <si>
    <t>MD</t>
  </si>
  <si>
    <t>SC</t>
  </si>
  <si>
    <t>TX</t>
  </si>
  <si>
    <t>Georgia Council for the Hearing Impaired</t>
  </si>
  <si>
    <t>GA</t>
  </si>
  <si>
    <t>MN</t>
  </si>
  <si>
    <t>MS</t>
  </si>
  <si>
    <t>Access Technologies, Inc.</t>
  </si>
  <si>
    <t>OR</t>
  </si>
  <si>
    <t>Ohio Deaf-Blind Outreach Program</t>
  </si>
  <si>
    <t>OH</t>
  </si>
  <si>
    <t>Florida Telecommunications Relay, Inc.</t>
  </si>
  <si>
    <t>FL</t>
  </si>
  <si>
    <t>Connecticut Tech Act Project</t>
  </si>
  <si>
    <t>CT</t>
  </si>
  <si>
    <t>VT</t>
  </si>
  <si>
    <t>AR</t>
  </si>
  <si>
    <t>MT</t>
  </si>
  <si>
    <t>NM</t>
  </si>
  <si>
    <t>RI</t>
  </si>
  <si>
    <t>WV</t>
  </si>
  <si>
    <t>PR</t>
  </si>
  <si>
    <t>VI</t>
  </si>
  <si>
    <t>Oklahoma Department of Rehabilitation Services</t>
  </si>
  <si>
    <t>OK</t>
  </si>
  <si>
    <t>Island Skill Gathering</t>
  </si>
  <si>
    <t>HI</t>
  </si>
  <si>
    <t>IA</t>
  </si>
  <si>
    <t>Columbia Lighthouse for the Blind</t>
  </si>
  <si>
    <t>DC</t>
  </si>
  <si>
    <t>Virginia Department for the Deaf and Hard of Hearing</t>
  </si>
  <si>
    <t>VA</t>
  </si>
  <si>
    <t>Department of Social and Health Services - Office of the Deaf and Hard of Hearing</t>
  </si>
  <si>
    <t>WA</t>
  </si>
  <si>
    <t>New Jersey Commission for the Blind and Visually Impaired</t>
  </si>
  <si>
    <t>NJ</t>
  </si>
  <si>
    <t>Interagency Program for Assistive Technology</t>
  </si>
  <si>
    <t>ND</t>
  </si>
  <si>
    <t>Northeast Deaf and Hard of Hearing Services, Inc.</t>
  </si>
  <si>
    <t>NH</t>
  </si>
  <si>
    <t>Affiliated Blind of Louisiana Training Center</t>
  </si>
  <si>
    <t>LA</t>
  </si>
  <si>
    <t>Lighthouse for the Blind and Visually Impaired</t>
  </si>
  <si>
    <t>CA</t>
  </si>
  <si>
    <t>Alabama Institute for the Deaf and Blind</t>
  </si>
  <si>
    <t>AL</t>
  </si>
  <si>
    <t>IN</t>
  </si>
  <si>
    <t>Missouri Assistive Technology</t>
  </si>
  <si>
    <t>MO</t>
  </si>
  <si>
    <t>Institute on Disabilities - Temple University</t>
  </si>
  <si>
    <t>PA</t>
  </si>
  <si>
    <t>Eastern Kentucky University Center on Deafness and Hearing Loss</t>
  </si>
  <si>
    <t>KY</t>
  </si>
  <si>
    <t>Helen Keller National Center for Deaf-Blind Youths and Adults</t>
  </si>
  <si>
    <t>NY</t>
  </si>
  <si>
    <t>University of Delaware - Center for Disabilities Studies</t>
  </si>
  <si>
    <t>DE</t>
  </si>
  <si>
    <t>The Chicago Lighthouse for People Who Are Blind or Visually Impaired</t>
  </si>
  <si>
    <t>IL</t>
  </si>
  <si>
    <t>NE</t>
  </si>
  <si>
    <t>University of Idaho - Idaho Assistive Technology Project</t>
  </si>
  <si>
    <t>ID</t>
  </si>
  <si>
    <t>Assistive Technology for Kansas test</t>
  </si>
  <si>
    <t>KS</t>
  </si>
  <si>
    <t>NV</t>
  </si>
  <si>
    <t>Tennessee Regulatory Authority</t>
  </si>
  <si>
    <t>TN</t>
  </si>
  <si>
    <t>Assistive Technology of Alaska</t>
  </si>
  <si>
    <t>AK</t>
  </si>
  <si>
    <t>Colorado Commission for the Deaf and Hard of Hearing</t>
  </si>
  <si>
    <t>Maine Center on Deafness</t>
  </si>
  <si>
    <t>Michigan Commission for the Blind</t>
  </si>
  <si>
    <t>North Carolina Division of Services for the Deaf and the Hard of Hearing</t>
  </si>
  <si>
    <t>South Dakota Department of Human Services</t>
  </si>
  <si>
    <t>Utah Public Service Commission</t>
  </si>
  <si>
    <t>Public Service Commission of Wisconsin</t>
  </si>
  <si>
    <t>Wyoming Institute for Disabilities - University of Wyoming</t>
  </si>
  <si>
    <t>CO</t>
  </si>
  <si>
    <t>ME</t>
  </si>
  <si>
    <t>MI</t>
  </si>
  <si>
    <t>NC</t>
  </si>
  <si>
    <t>SD</t>
  </si>
  <si>
    <t>UT</t>
  </si>
  <si>
    <t>WI</t>
  </si>
  <si>
    <t>WY</t>
  </si>
  <si>
    <t>Pending RLSA</t>
  </si>
  <si>
    <t>Percent of Budget Requested</t>
  </si>
  <si>
    <t>Rejected</t>
  </si>
  <si>
    <t>Administrative Costs</t>
  </si>
  <si>
    <t>Admin</t>
  </si>
  <si>
    <t>Pending Program</t>
  </si>
  <si>
    <t>Pending FCC</t>
  </si>
  <si>
    <t>NO</t>
  </si>
  <si>
    <t>State Totals</t>
  </si>
  <si>
    <t>Expense Period</t>
  </si>
  <si>
    <t>July</t>
  </si>
  <si>
    <t>August</t>
  </si>
  <si>
    <t>Internal Request Number</t>
  </si>
  <si>
    <t>Date Received</t>
  </si>
  <si>
    <t>National Outreach Totals</t>
  </si>
  <si>
    <t>Fund Totals</t>
  </si>
  <si>
    <t>Total</t>
  </si>
  <si>
    <t>State Request Totals</t>
  </si>
  <si>
    <t>Under Review</t>
  </si>
  <si>
    <t>Admin Not Covered By Program Costs</t>
  </si>
  <si>
    <t>Issues Need Corrected</t>
  </si>
  <si>
    <t>Total Paid</t>
  </si>
  <si>
    <t>Amount of Budget Remaining</t>
  </si>
  <si>
    <t>15% Administrative</t>
  </si>
  <si>
    <t>15% of program costs</t>
  </si>
  <si>
    <t>15% - Paid Admin</t>
  </si>
  <si>
    <t>Nebraska Assistive Technology Partnership</t>
  </si>
  <si>
    <t>Monthly Filing Frequency</t>
  </si>
  <si>
    <t>Request Period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</si>
  <si>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</si>
  <si>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</si>
  <si>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</si>
  <si>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</si>
  <si>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</si>
  <si>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</si>
  <si>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</si>
  <si>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</si>
  <si>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</si>
  <si>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</si>
  <si>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Due Date</t>
  </si>
  <si>
    <t>Received Date</t>
  </si>
  <si>
    <t>Quarterly Filing Frequency</t>
  </si>
  <si>
    <t>July-September</t>
  </si>
  <si>
    <t>October-December</t>
  </si>
  <si>
    <t>January-March</t>
  </si>
  <si>
    <t>April-June</t>
  </si>
  <si>
    <t>Semi-Annual Filing Frequency</t>
  </si>
  <si>
    <t>July-December</t>
  </si>
  <si>
    <t>January-June</t>
  </si>
  <si>
    <t>July-Sept</t>
  </si>
  <si>
    <t>No Request</t>
  </si>
  <si>
    <t>Michigan Commission for the Blind/Perkins School for the Blind</t>
  </si>
  <si>
    <t>Reallocations</t>
  </si>
  <si>
    <t>Oct-Dec</t>
  </si>
  <si>
    <t>FCC</t>
  </si>
  <si>
    <t>Assistive Technology for Kansas</t>
  </si>
  <si>
    <t>July-Dec</t>
  </si>
  <si>
    <t>Utah Public Service Commission/Perkins School for the Blind</t>
  </si>
  <si>
    <t>Jan-Mar</t>
  </si>
  <si>
    <t>Apr-June</t>
  </si>
  <si>
    <t>Apr-Jun</t>
  </si>
  <si>
    <t>Jan-Jun</t>
  </si>
  <si>
    <t>Requests Received As Of 02/19/2016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</si>
</sst>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thin">
        <color rgb="FF000099"/>
      </bottom>
      <diagonal/>
    </border>
    <border>
      <left style="thin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ck">
        <color rgb="FF000099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n">
        <color indexed="64"/>
      </right>
      <top style="thick">
        <color rgb="FF000099"/>
      </top>
      <bottom/>
      <diagonal/>
    </border>
    <border>
      <left style="thin">
        <color indexed="64"/>
      </left>
      <right style="thick">
        <color rgb="FF000099"/>
      </right>
      <top style="thick">
        <color rgb="FF000099"/>
      </top>
      <bottom/>
      <diagonal/>
    </border>
    <border>
      <left style="thick">
        <color rgb="FF00009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000099"/>
      </right>
      <top/>
      <bottom style="thin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99"/>
      </right>
      <top style="thin">
        <color indexed="64"/>
      </top>
      <bottom style="double">
        <color indexed="64"/>
      </bottom>
      <diagonal/>
    </border>
    <border>
      <left style="thick">
        <color rgb="FF000099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000099"/>
      </right>
      <top style="double">
        <color indexed="64"/>
      </top>
      <bottom style="medium">
        <color indexed="64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0099"/>
      </left>
      <right/>
      <top/>
      <bottom style="thick">
        <color rgb="FF000099"/>
      </bottom>
      <diagonal/>
    </border>
    <border>
      <left/>
      <right/>
      <top/>
      <bottom style="thick">
        <color rgb="FF000099"/>
      </bottom>
      <diagonal/>
    </border>
    <border>
      <left style="thin">
        <color indexed="64"/>
      </left>
      <right style="thin">
        <color indexed="64"/>
      </right>
      <top/>
      <bottom style="thick">
        <color rgb="FF000099"/>
      </bottom>
      <diagonal/>
    </border>
    <border>
      <left style="thin">
        <color indexed="64"/>
      </left>
      <right style="thick">
        <color rgb="FF000099"/>
      </right>
      <top/>
      <bottom style="thick">
        <color rgb="FF000099"/>
      </bottom>
      <diagonal/>
    </border>
    <border>
      <left style="thick">
        <color rgb="FF000099"/>
      </left>
      <right/>
      <top style="thick">
        <color rgb="FF000099"/>
      </top>
      <bottom style="thin">
        <color indexed="64"/>
      </bottom>
      <diagonal/>
    </border>
    <border>
      <left/>
      <right/>
      <top style="thick">
        <color rgb="FF000099"/>
      </top>
      <bottom style="thin">
        <color indexed="64"/>
      </bottom>
      <diagonal/>
    </border>
    <border>
      <left/>
      <right style="thick">
        <color rgb="FF000099"/>
      </right>
      <top style="thick">
        <color rgb="FF000099"/>
      </top>
      <bottom style="thin">
        <color indexed="64"/>
      </bottom>
      <diagonal/>
    </border>
    <border>
      <left style="thick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/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 style="thick">
        <color rgb="FF000099"/>
      </right>
      <top style="thin">
        <color indexed="64"/>
      </top>
      <bottom/>
      <diagonal/>
    </border>
    <border>
      <left style="thick">
        <color rgb="FF000099"/>
      </left>
      <right style="thin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ck">
        <color rgb="FF000099"/>
      </right>
      <top/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ck">
        <color rgb="FF000099"/>
      </left>
      <right style="thin">
        <color indexed="64"/>
      </right>
      <top style="thin">
        <color indexed="64"/>
      </top>
      <bottom style="double">
        <color rgb="FF000099"/>
      </bottom>
      <diagonal/>
    </border>
    <border>
      <left style="thick">
        <color rgb="FF000099"/>
      </left>
      <right/>
      <top style="double">
        <color rgb="FF000099"/>
      </top>
      <bottom style="medium">
        <color rgb="FF000099"/>
      </bottom>
      <diagonal/>
    </border>
    <border>
      <left/>
      <right/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n">
        <color indexed="64"/>
      </right>
      <top style="double">
        <color rgb="FF000099"/>
      </top>
      <bottom style="medium">
        <color rgb="FF000099"/>
      </bottom>
      <diagonal/>
    </border>
    <border>
      <left style="thin">
        <color indexed="64"/>
      </left>
      <right style="thick">
        <color rgb="FF000099"/>
      </right>
      <top style="double">
        <color rgb="FF000099"/>
      </top>
      <bottom style="medium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 style="thick">
        <color rgb="FF000099"/>
      </right>
      <top style="thin">
        <color rgb="FF000099"/>
      </top>
      <bottom/>
      <diagonal/>
    </border>
    <border>
      <left style="thick">
        <color rgb="FF000099"/>
      </left>
      <right style="thin">
        <color rgb="FF000099"/>
      </right>
      <top style="thin">
        <color rgb="FF000099"/>
      </top>
      <bottom/>
      <diagonal/>
    </border>
    <border>
      <left style="thin">
        <color rgb="FF000099"/>
      </left>
      <right/>
      <top style="thin">
        <color indexed="64"/>
      </top>
      <bottom style="thin">
        <color rgb="FF000099"/>
      </bottom>
      <diagonal/>
    </border>
    <border>
      <left/>
      <right/>
      <top style="thin">
        <color indexed="64"/>
      </top>
      <bottom style="thin">
        <color rgb="FF000099"/>
      </bottom>
      <diagonal/>
    </border>
    <border>
      <left/>
      <right style="thin">
        <color rgb="FF000099"/>
      </right>
      <top style="thin">
        <color indexed="64"/>
      </top>
      <bottom style="thin">
        <color rgb="FF000099"/>
      </bottom>
      <diagonal/>
    </border>
    <border>
      <left style="thin">
        <color rgb="FF000099"/>
      </left>
      <right/>
      <top style="thin">
        <color rgb="FF000099"/>
      </top>
      <bottom style="thin">
        <color rgb="FF000099"/>
      </bottom>
      <diagonal/>
    </border>
    <border>
      <left/>
      <right/>
      <top style="thick">
        <color rgb="FF000099"/>
      </top>
      <bottom/>
      <diagonal/>
    </border>
    <border>
      <left style="thin">
        <color rgb="FF000099"/>
      </left>
      <right/>
      <top style="thick">
        <color rgb="FF000099"/>
      </top>
      <bottom style="thin">
        <color rgb="FF000099"/>
      </bottom>
      <diagonal/>
    </border>
    <border>
      <left/>
      <right/>
      <top style="thick">
        <color rgb="FF000099"/>
      </top>
      <bottom style="thin">
        <color rgb="FF000099"/>
      </bottom>
      <diagonal/>
    </border>
    <border>
      <left/>
      <right style="thin">
        <color rgb="FF000099"/>
      </right>
      <top style="thick">
        <color rgb="FF000099"/>
      </top>
      <bottom style="thin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thin">
        <color indexed="64"/>
      </bottom>
      <diagonal/>
    </border>
    <border>
      <left style="thin">
        <color rgb="FF000099"/>
      </left>
      <right/>
      <top style="thin">
        <color rgb="FF000099"/>
      </top>
      <bottom style="double">
        <color rgb="FF000099"/>
      </bottom>
      <diagonal/>
    </border>
    <border>
      <left/>
      <right style="thin">
        <color rgb="FF000099"/>
      </right>
      <top style="thin">
        <color rgb="FF000099"/>
      </top>
      <bottom style="double">
        <color rgb="FF000099"/>
      </bottom>
      <diagonal/>
    </border>
    <border>
      <left style="thin">
        <color indexed="64"/>
      </left>
      <right style="thin">
        <color rgb="FF000099"/>
      </right>
      <top style="thin">
        <color indexed="64"/>
      </top>
      <bottom style="double">
        <color rgb="FF000099"/>
      </bottom>
      <diagonal/>
    </border>
    <border>
      <left style="thin">
        <color indexed="64"/>
      </left>
      <right/>
      <top style="double">
        <color rgb="FF000099"/>
      </top>
      <bottom style="thin">
        <color indexed="64"/>
      </bottom>
      <diagonal/>
    </border>
    <border>
      <left/>
      <right style="thin">
        <color indexed="64"/>
      </right>
      <top style="double">
        <color rgb="FF00009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99"/>
      </top>
      <bottom style="thin">
        <color rgb="FF000099"/>
      </bottom>
      <diagonal/>
    </border>
    <border>
      <left/>
      <right style="thin">
        <color rgb="FF000099"/>
      </right>
      <top style="thin">
        <color rgb="FF000099"/>
      </top>
      <bottom style="thin">
        <color rgb="FF000099"/>
      </bottom>
      <diagonal/>
    </border>
    <border>
      <left/>
      <right/>
      <top style="thin">
        <color rgb="FF000099"/>
      </top>
      <bottom style="double">
        <color rgb="FF000099"/>
      </bottom>
      <diagonal/>
    </border>
    <border>
      <left style="thin">
        <color rgb="FF000099"/>
      </left>
      <right style="thin">
        <color rgb="FF000099"/>
      </right>
      <top style="thin">
        <color rgb="FF000099"/>
      </top>
      <bottom style="double">
        <color rgb="FF00009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191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1" xfId="0" applyFill="1" applyBorder="1"/>
    <xf numFmtId="44" fontId="0" fillId="0" borderId="1" xfId="1" applyFont="1" applyFill="1" applyBorder="1"/>
    <xf numFmtId="44" fontId="1" fillId="0" borderId="1" xfId="1" applyFont="1" applyFill="1" applyBorder="1"/>
    <xf numFmtId="0" fontId="0" fillId="0" borderId="0" xfId="0" applyFill="1"/>
    <xf numFmtId="44" fontId="0" fillId="0" borderId="0" xfId="1" applyFont="1" applyFill="1"/>
    <xf numFmtId="44" fontId="1" fillId="0" borderId="0" xfId="1" applyFont="1" applyFill="1"/>
    <xf numFmtId="22" fontId="0" fillId="0" borderId="1" xfId="1" applyNumberFormat="1" applyFont="1" applyFill="1" applyBorder="1"/>
    <xf numFmtId="14" fontId="0" fillId="0" borderId="1" xfId="1" applyNumberFormat="1" applyFont="1" applyFill="1" applyBorder="1"/>
    <xf numFmtId="14" fontId="0" fillId="0" borderId="0" xfId="1" applyNumberFormat="1" applyFont="1" applyFill="1"/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4" xfId="1" applyFont="1" applyFill="1" applyBorder="1"/>
    <xf numFmtId="14" fontId="0" fillId="0" borderId="4" xfId="1" applyNumberFormat="1" applyFont="1" applyFill="1" applyBorder="1"/>
    <xf numFmtId="0" fontId="0" fillId="0" borderId="2" xfId="0" applyFill="1" applyBorder="1"/>
    <xf numFmtId="44" fontId="0" fillId="0" borderId="2" xfId="1" applyFont="1" applyFill="1" applyBorder="1"/>
    <xf numFmtId="14" fontId="0" fillId="0" borderId="2" xfId="1" applyNumberFormat="1" applyFont="1" applyFill="1" applyBorder="1"/>
    <xf numFmtId="44" fontId="0" fillId="3" borderId="5" xfId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4" xfId="0" applyNumberFormat="1" applyFill="1" applyBorder="1" applyAlignment="1">
      <alignment horizontal="center"/>
    </xf>
    <xf numFmtId="44" fontId="1" fillId="0" borderId="15" xfId="1" applyFont="1" applyFill="1" applyBorder="1"/>
    <xf numFmtId="0" fontId="0" fillId="0" borderId="16" xfId="0" applyNumberFormat="1" applyFill="1" applyBorder="1" applyAlignment="1">
      <alignment horizontal="center"/>
    </xf>
    <xf numFmtId="44" fontId="1" fillId="0" borderId="17" xfId="1" applyFont="1" applyFill="1" applyBorder="1"/>
    <xf numFmtId="0" fontId="0" fillId="0" borderId="16" xfId="3" applyNumberFormat="1" applyFont="1" applyFill="1" applyBorder="1" applyAlignment="1">
      <alignment horizontal="center"/>
    </xf>
    <xf numFmtId="44" fontId="0" fillId="0" borderId="17" xfId="1" applyFont="1" applyFill="1" applyBorder="1"/>
    <xf numFmtId="0" fontId="0" fillId="0" borderId="18" xfId="3" applyNumberFormat="1" applyFon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44" fontId="1" fillId="0" borderId="19" xfId="1" applyFont="1" applyFill="1" applyBorder="1"/>
    <xf numFmtId="44" fontId="0" fillId="3" borderId="21" xfId="1" applyFont="1" applyFill="1" applyBorder="1"/>
    <xf numFmtId="0" fontId="0" fillId="0" borderId="22" xfId="0" applyNumberFormat="1" applyFill="1" applyBorder="1" applyAlignment="1">
      <alignment horizontal="center"/>
    </xf>
    <xf numFmtId="44" fontId="0" fillId="3" borderId="25" xfId="1" applyFont="1" applyFill="1" applyBorder="1"/>
    <xf numFmtId="44" fontId="0" fillId="3" borderId="26" xfId="1" applyFont="1" applyFill="1" applyBorder="1"/>
    <xf numFmtId="44" fontId="2" fillId="2" borderId="10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 wrapText="1"/>
    </xf>
    <xf numFmtId="0" fontId="0" fillId="0" borderId="16" xfId="0" applyFill="1" applyBorder="1"/>
    <xf numFmtId="0" fontId="0" fillId="0" borderId="16" xfId="0" applyBorder="1"/>
    <xf numFmtId="10" fontId="0" fillId="3" borderId="25" xfId="2" applyNumberFormat="1" applyFont="1" applyFill="1" applyBorder="1"/>
    <xf numFmtId="0" fontId="0" fillId="0" borderId="14" xfId="0" applyFill="1" applyBorder="1"/>
    <xf numFmtId="0" fontId="0" fillId="0" borderId="2" xfId="0" applyFill="1" applyBorder="1" applyAlignment="1">
      <alignment horizontal="center"/>
    </xf>
    <xf numFmtId="10" fontId="0" fillId="0" borderId="2" xfId="2" applyNumberFormat="1" applyFont="1" applyFill="1" applyBorder="1"/>
    <xf numFmtId="0" fontId="0" fillId="0" borderId="37" xfId="0" applyBorder="1"/>
    <xf numFmtId="0" fontId="0" fillId="0" borderId="7" xfId="0" applyFill="1" applyBorder="1" applyAlignment="1">
      <alignment horizontal="center"/>
    </xf>
    <xf numFmtId="44" fontId="0" fillId="3" borderId="40" xfId="1" applyFont="1" applyFill="1" applyBorder="1"/>
    <xf numFmtId="10" fontId="0" fillId="3" borderId="40" xfId="2" applyNumberFormat="1" applyFont="1" applyFill="1" applyBorder="1"/>
    <xf numFmtId="44" fontId="0" fillId="3" borderId="41" xfId="1" applyFont="1" applyFill="1" applyBorder="1"/>
    <xf numFmtId="0" fontId="0" fillId="0" borderId="1" xfId="0" quotePrefix="1" applyFill="1" applyBorder="1" applyAlignment="1">
      <alignment horizontal="left"/>
    </xf>
    <xf numFmtId="44" fontId="2" fillId="2" borderId="42" xfId="1" applyFont="1" applyFill="1" applyBorder="1" applyAlignment="1">
      <alignment wrapText="1"/>
    </xf>
    <xf numFmtId="44" fontId="2" fillId="2" borderId="10" xfId="1" applyFont="1" applyFill="1" applyBorder="1" applyAlignment="1">
      <alignment wrapText="1"/>
    </xf>
    <xf numFmtId="44" fontId="2" fillId="2" borderId="43" xfId="1" applyFont="1" applyFill="1" applyBorder="1" applyAlignment="1"/>
    <xf numFmtId="44" fontId="2" fillId="2" borderId="35" xfId="1" applyFont="1" applyFill="1" applyBorder="1" applyAlignment="1"/>
    <xf numFmtId="0" fontId="2" fillId="2" borderId="42" xfId="0" applyFont="1" applyFill="1" applyBorder="1" applyAlignment="1"/>
    <xf numFmtId="0" fontId="2" fillId="2" borderId="10" xfId="0" applyFont="1" applyFill="1" applyBorder="1" applyAlignment="1"/>
    <xf numFmtId="0" fontId="2" fillId="2" borderId="42" xfId="0" applyNumberFormat="1" applyFont="1" applyFill="1" applyBorder="1" applyAlignment="1"/>
    <xf numFmtId="0" fontId="2" fillId="2" borderId="10" xfId="0" applyNumberFormat="1" applyFont="1" applyFill="1" applyBorder="1" applyAlignment="1"/>
    <xf numFmtId="44" fontId="2" fillId="2" borderId="42" xfId="1" applyFont="1" applyFill="1" applyBorder="1" applyAlignment="1"/>
    <xf numFmtId="44" fontId="2" fillId="2" borderId="10" xfId="1" applyFont="1" applyFill="1" applyBorder="1" applyAlignment="1"/>
    <xf numFmtId="14" fontId="2" fillId="2" borderId="42" xfId="1" applyNumberFormat="1" applyFont="1" applyFill="1" applyBorder="1" applyAlignment="1"/>
    <xf numFmtId="14" fontId="2" fillId="2" borderId="10" xfId="1" applyNumberFormat="1" applyFont="1" applyFill="1" applyBorder="1" applyAlignment="1"/>
    <xf numFmtId="0" fontId="2" fillId="2" borderId="44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>
      <alignment wrapText="1"/>
    </xf>
    <xf numFmtId="44" fontId="0" fillId="0" borderId="2" xfId="2" applyNumberFormat="1" applyFont="1" applyFill="1" applyBorder="1"/>
    <xf numFmtId="0" fontId="0" fillId="4" borderId="0" xfId="0" applyFill="1"/>
    <xf numFmtId="0" fontId="0" fillId="4" borderId="0" xfId="0" applyNumberFormat="1" applyFill="1" applyAlignment="1">
      <alignment horizontal="center"/>
    </xf>
    <xf numFmtId="44" fontId="0" fillId="4" borderId="0" xfId="1" applyFont="1" applyFill="1"/>
    <xf numFmtId="14" fontId="0" fillId="4" borderId="0" xfId="1" applyNumberFormat="1" applyFont="1" applyFill="1"/>
    <xf numFmtId="44" fontId="1" fillId="4" borderId="0" xfId="1" applyFont="1" applyFill="1"/>
    <xf numFmtId="0" fontId="0" fillId="4" borderId="3" xfId="0" applyFill="1" applyBorder="1"/>
    <xf numFmtId="0" fontId="0" fillId="4" borderId="0" xfId="0" applyFill="1" applyAlignment="1">
      <alignment horizontal="center"/>
    </xf>
    <xf numFmtId="10" fontId="0" fillId="4" borderId="0" xfId="2" applyNumberFormat="1" applyFont="1" applyFill="1"/>
    <xf numFmtId="44" fontId="5" fillId="0" borderId="2" xfId="2" applyNumberFormat="1" applyFont="1" applyFill="1" applyBorder="1"/>
    <xf numFmtId="44" fontId="2" fillId="2" borderId="48" xfId="1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0" fillId="0" borderId="1" xfId="1" applyFont="1" applyFill="1" applyBorder="1"/>
    <xf numFmtId="22" fontId="0" fillId="0" borderId="1" xfId="1" applyNumberFormat="1" applyFont="1" applyFill="1" applyBorder="1"/>
    <xf numFmtId="14" fontId="0" fillId="0" borderId="1" xfId="1" applyNumberFormat="1" applyFont="1" applyFill="1" applyBorder="1"/>
    <xf numFmtId="0" fontId="0" fillId="0" borderId="1" xfId="1" applyNumberFormat="1" applyFont="1" applyFill="1" applyBorder="1" applyAlignment="1">
      <alignment horizontal="center"/>
    </xf>
    <xf numFmtId="44" fontId="0" fillId="0" borderId="17" xfId="1" applyFont="1" applyFill="1" applyBorder="1"/>
    <xf numFmtId="44" fontId="0" fillId="0" borderId="0" xfId="0" applyNumberFormat="1" applyFill="1"/>
    <xf numFmtId="8" fontId="0" fillId="0" borderId="1" xfId="1" applyNumberFormat="1" applyFont="1" applyFill="1" applyBorder="1"/>
    <xf numFmtId="0" fontId="0" fillId="0" borderId="0" xfId="0"/>
    <xf numFmtId="44" fontId="0" fillId="0" borderId="1" xfId="1" applyFont="1" applyFill="1" applyBorder="1"/>
    <xf numFmtId="0" fontId="0" fillId="0" borderId="0" xfId="0" applyAlignment="1">
      <alignment vertical="center"/>
    </xf>
    <xf numFmtId="44" fontId="2" fillId="2" borderId="36" xfId="1" applyFont="1" applyFill="1" applyBorder="1" applyAlignment="1">
      <alignment horizontal="center" vertical="center"/>
    </xf>
    <xf numFmtId="44" fontId="2" fillId="2" borderId="45" xfId="1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53" xfId="1" applyFont="1" applyFill="1" applyBorder="1" applyAlignment="1">
      <alignment horizontal="center" vertical="center" wrapText="1"/>
    </xf>
    <xf numFmtId="44" fontId="2" fillId="2" borderId="54" xfId="1" applyFont="1" applyFill="1" applyBorder="1" applyAlignment="1">
      <alignment horizontal="center" vertical="center"/>
    </xf>
    <xf numFmtId="14" fontId="2" fillId="2" borderId="54" xfId="1" applyNumberFormat="1" applyFont="1" applyFill="1" applyBorder="1" applyAlignment="1">
      <alignment horizontal="center" vertical="center"/>
    </xf>
    <xf numFmtId="14" fontId="2" fillId="2" borderId="56" xfId="1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44" fontId="2" fillId="2" borderId="65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ill="1" applyBorder="1"/>
    <xf numFmtId="14" fontId="5" fillId="0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22" fontId="1" fillId="0" borderId="1" xfId="1" applyNumberFormat="1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0" fontId="3" fillId="2" borderId="27" xfId="0" quotePrefix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9" xfId="0" applyBorder="1" applyAlignment="1">
      <alignment horizontal="center"/>
    </xf>
    <xf numFmtId="44" fontId="2" fillId="2" borderId="32" xfId="1" applyFont="1" applyFill="1" applyBorder="1" applyAlignment="1">
      <alignment horizontal="center" wrapText="1"/>
    </xf>
    <xf numFmtId="44" fontId="2" fillId="2" borderId="8" xfId="1" applyFont="1" applyFill="1" applyBorder="1" applyAlignment="1">
      <alignment horizontal="center" wrapText="1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center"/>
    </xf>
    <xf numFmtId="44" fontId="2" fillId="2" borderId="33" xfId="1" applyFont="1" applyFill="1" applyBorder="1" applyAlignment="1">
      <alignment horizontal="center"/>
    </xf>
    <xf numFmtId="44" fontId="2" fillId="2" borderId="35" xfId="1" applyFont="1" applyFill="1" applyBorder="1" applyAlignment="1">
      <alignment horizontal="center"/>
    </xf>
    <xf numFmtId="44" fontId="2" fillId="2" borderId="36" xfId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4" fontId="2" fillId="2" borderId="31" xfId="1" applyFont="1" applyFill="1" applyBorder="1" applyAlignment="1">
      <alignment horizontal="center"/>
    </xf>
    <xf numFmtId="44" fontId="2" fillId="2" borderId="10" xfId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0" fontId="2" fillId="2" borderId="31" xfId="2" applyNumberFormat="1" applyFont="1" applyFill="1" applyBorder="1" applyAlignment="1">
      <alignment horizontal="center" wrapText="1"/>
    </xf>
    <xf numFmtId="10" fontId="2" fillId="2" borderId="10" xfId="2" applyNumberFormat="1" applyFont="1" applyFill="1" applyBorder="1" applyAlignment="1">
      <alignment horizontal="center" wrapText="1"/>
    </xf>
    <xf numFmtId="44" fontId="2" fillId="2" borderId="45" xfId="1" applyFont="1" applyFill="1" applyBorder="1" applyAlignment="1">
      <alignment horizontal="center" wrapText="1"/>
    </xf>
    <xf numFmtId="44" fontId="2" fillId="2" borderId="46" xfId="1" applyFont="1" applyFill="1" applyBorder="1" applyAlignment="1">
      <alignment horizontal="center" wrapText="1"/>
    </xf>
    <xf numFmtId="44" fontId="2" fillId="2" borderId="47" xfId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4" fontId="2" fillId="2" borderId="36" xfId="1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3" fillId="2" borderId="11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 wrapText="1"/>
    </xf>
    <xf numFmtId="0" fontId="0" fillId="3" borderId="20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44" fontId="2" fillId="2" borderId="9" xfId="1" applyFont="1" applyFill="1" applyBorder="1" applyAlignment="1">
      <alignment horizontal="center"/>
    </xf>
    <xf numFmtId="14" fontId="0" fillId="0" borderId="59" xfId="0" applyNumberFormat="1" applyFill="1" applyBorder="1" applyAlignment="1">
      <alignment horizontal="center" vertical="center"/>
    </xf>
    <xf numFmtId="14" fontId="0" fillId="0" borderId="61" xfId="0" applyNumberFormat="1" applyFill="1" applyBorder="1" applyAlignment="1">
      <alignment horizontal="center" vertical="center"/>
    </xf>
    <xf numFmtId="14" fontId="0" fillId="0" borderId="60" xfId="0" applyNumberFormat="1" applyFill="1" applyBorder="1" applyAlignment="1">
      <alignment horizontal="center" vertical="center"/>
    </xf>
    <xf numFmtId="14" fontId="0" fillId="5" borderId="59" xfId="0" applyNumberFormat="1" applyFill="1" applyBorder="1" applyAlignment="1">
      <alignment horizontal="center" vertical="center"/>
    </xf>
    <xf numFmtId="14" fontId="0" fillId="5" borderId="61" xfId="0" applyNumberFormat="1" applyFill="1" applyBorder="1" applyAlignment="1">
      <alignment horizontal="center" vertical="center"/>
    </xf>
    <xf numFmtId="14" fontId="0" fillId="5" borderId="60" xfId="0" applyNumberFormat="1" applyFill="1" applyBorder="1" applyAlignment="1">
      <alignment horizontal="center" vertical="center"/>
    </xf>
    <xf numFmtId="0" fontId="3" fillId="2" borderId="50" xfId="0" quotePrefix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4" fontId="2" fillId="2" borderId="36" xfId="1" applyFont="1" applyFill="1" applyBorder="1" applyAlignment="1">
      <alignment horizontal="center" vertical="center"/>
    </xf>
    <xf numFmtId="44" fontId="2" fillId="2" borderId="54" xfId="1" applyFont="1" applyFill="1" applyBorder="1" applyAlignment="1">
      <alignment horizontal="center" vertical="center"/>
    </xf>
    <xf numFmtId="44" fontId="2" fillId="2" borderId="55" xfId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44" fontId="2" fillId="2" borderId="9" xfId="1" applyFont="1" applyFill="1" applyBorder="1" applyAlignment="1">
      <alignment horizontal="center" vertical="center"/>
    </xf>
    <xf numFmtId="44" fontId="2" fillId="2" borderId="48" xfId="1" applyFont="1" applyFill="1" applyBorder="1" applyAlignment="1">
      <alignment horizontal="center" vertical="center"/>
    </xf>
    <xf numFmtId="44" fontId="2" fillId="2" borderId="62" xfId="1" applyFont="1" applyFill="1" applyBorder="1" applyAlignment="1">
      <alignment horizontal="center" vertical="center"/>
    </xf>
    <xf numFmtId="44" fontId="2" fillId="2" borderId="63" xfId="1" applyFont="1" applyFill="1" applyBorder="1" applyAlignment="1">
      <alignment horizontal="center" vertical="center"/>
    </xf>
    <xf numFmtId="14" fontId="2" fillId="2" borderId="54" xfId="1" applyNumberFormat="1" applyFont="1" applyFill="1" applyBorder="1" applyAlignment="1">
      <alignment horizontal="center" vertical="center"/>
    </xf>
    <xf numFmtId="14" fontId="2" fillId="2" borderId="64" xfId="1" applyNumberFormat="1" applyFont="1" applyFill="1" applyBorder="1" applyAlignment="1">
      <alignment horizontal="center" vertical="center"/>
    </xf>
    <xf numFmtId="14" fontId="2" fillId="2" borderId="5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2" borderId="45" xfId="1" applyFont="1" applyFill="1" applyBorder="1" applyAlignment="1">
      <alignment horizontal="center" vertical="center"/>
    </xf>
    <xf numFmtId="44" fontId="2" fillId="2" borderId="46" xfId="1" applyFont="1" applyFill="1" applyBorder="1" applyAlignment="1">
      <alignment horizontal="center" vertical="center"/>
    </xf>
    <xf numFmtId="44" fontId="2" fillId="2" borderId="47" xfId="1" applyFont="1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4" fontId="0" fillId="5" borderId="59" xfId="0" applyNumberFormat="1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14" fontId="5" fillId="5" borderId="59" xfId="0" applyNumberFormat="1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</cellXfs>
  <cellStyles count="6">
    <cellStyle name="Comma" xfId="3" builtinId="3"/>
    <cellStyle name="Currency" xfId="1" builtinId="4"/>
    <cellStyle name="Currency 2" xfId="5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colors>
    <mruColors>
      <color rgb="FFFF3300"/>
      <color rgb="FF25C6FF"/>
      <color rgb="FFFF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65"/>
  <sheetViews>
    <sheetView tabSelected="1" zoomScaleNormal="100"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77.42578125" bestFit="1" customWidth="1"/>
    <col min="2" max="2" width="5.5703125" style="13" bestFit="1" customWidth="1"/>
    <col min="3" max="3" width="20" style="1" customWidth="1"/>
    <col min="4" max="4" width="15.140625" style="1" customWidth="1"/>
    <col min="5" max="5" width="14.42578125" style="1" customWidth="1"/>
    <col min="6" max="6" width="13.5703125" style="12" customWidth="1"/>
    <col min="7" max="7" width="14.7109375" style="12" customWidth="1"/>
    <col min="8" max="8" width="18.7109375" style="1" customWidth="1"/>
    <col min="9" max="10" width="14.28515625" style="1" customWidth="1"/>
    <col min="11" max="12" width="14.28515625" style="1" hidden="1" customWidth="1"/>
    <col min="13" max="13" width="14.28515625" style="1" customWidth="1"/>
    <col min="14" max="15" width="14.5703125" style="1" customWidth="1"/>
    <col min="16" max="16" width="14.28515625" style="1" customWidth="1"/>
    <col min="17" max="17" width="12.5703125" style="2" bestFit="1" customWidth="1"/>
    <col min="18" max="18" width="11.28515625" bestFit="1" customWidth="1"/>
    <col min="19" max="19" width="14.28515625" bestFit="1" customWidth="1"/>
  </cols>
  <sheetData>
    <row r="1" spans="1:19" ht="15.75" thickTop="1" x14ac:dyDescent="0.25">
      <c r="A1" s="114" t="str">
        <f>Detail!A1</f>
        <v>Requests Received As Of 02/19/2016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5"/>
      <c r="O1" s="115"/>
      <c r="P1" s="115"/>
      <c r="Q1" s="117"/>
    </row>
    <row r="2" spans="1:19" ht="15" customHeight="1" x14ac:dyDescent="0.25">
      <c r="A2" s="131" t="s">
        <v>1</v>
      </c>
      <c r="B2" s="127" t="s">
        <v>0</v>
      </c>
      <c r="C2" s="129" t="s">
        <v>2</v>
      </c>
      <c r="D2" s="126" t="s">
        <v>3</v>
      </c>
      <c r="E2" s="126"/>
      <c r="F2" s="133" t="s">
        <v>95</v>
      </c>
      <c r="G2" s="133" t="s">
        <v>116</v>
      </c>
      <c r="H2" s="135" t="s">
        <v>5</v>
      </c>
      <c r="I2" s="136"/>
      <c r="J2" s="137"/>
      <c r="K2" s="135" t="s">
        <v>117</v>
      </c>
      <c r="L2" s="140"/>
      <c r="M2" s="77" t="s">
        <v>94</v>
      </c>
      <c r="N2" s="137" t="s">
        <v>99</v>
      </c>
      <c r="O2" s="139"/>
      <c r="P2" s="118" t="s">
        <v>100</v>
      </c>
      <c r="Q2" s="124" t="s">
        <v>96</v>
      </c>
    </row>
    <row r="3" spans="1:19" ht="29.25" customHeight="1" thickBot="1" x14ac:dyDescent="0.3">
      <c r="A3" s="132"/>
      <c r="B3" s="128"/>
      <c r="C3" s="130"/>
      <c r="D3" s="38" t="s">
        <v>4</v>
      </c>
      <c r="E3" s="39" t="s">
        <v>97</v>
      </c>
      <c r="F3" s="134"/>
      <c r="G3" s="138"/>
      <c r="H3" s="39" t="s">
        <v>4</v>
      </c>
      <c r="I3" s="39" t="s">
        <v>98</v>
      </c>
      <c r="J3" s="39" t="s">
        <v>115</v>
      </c>
      <c r="K3" s="39" t="s">
        <v>118</v>
      </c>
      <c r="L3" s="39" t="s">
        <v>119</v>
      </c>
      <c r="M3" s="39" t="s">
        <v>112</v>
      </c>
      <c r="N3" s="39" t="s">
        <v>113</v>
      </c>
      <c r="O3" s="39" t="s">
        <v>114</v>
      </c>
      <c r="P3" s="119"/>
      <c r="Q3" s="125"/>
    </row>
    <row r="4" spans="1:19" s="6" customFormat="1" ht="15.75" thickTop="1" x14ac:dyDescent="0.25">
      <c r="A4" s="43" t="s">
        <v>76</v>
      </c>
      <c r="B4" s="44" t="s">
        <v>77</v>
      </c>
      <c r="C4" s="78">
        <f>65744-10500</f>
        <v>55244</v>
      </c>
      <c r="D4" s="18">
        <f>SUMIF(Detail!$C$4:$C$511,Summary!$B4,Detail!$F$4:$F$511)</f>
        <v>46957.400000000009</v>
      </c>
      <c r="E4" s="18">
        <f>SUMIF(Detail!$C$4:$C$511,Summary!$B4,Detail!$G$4:$G$511)</f>
        <v>6550.1</v>
      </c>
      <c r="F4" s="45">
        <f>(SUM($D4:$E4)/$C4)</f>
        <v>0.96856672217797424</v>
      </c>
      <c r="G4" s="75">
        <f t="shared" ref="G4:G35" si="0">SUM(C4-J4)</f>
        <v>1736.4999999999927</v>
      </c>
      <c r="H4" s="18">
        <f>SUMIF(Detail!$C$4:$C$511,Summary!$B4,Detail!$H$4:$H$511)</f>
        <v>46957.400000000009</v>
      </c>
      <c r="I4" s="18">
        <f>SUMIF(Detail!$C$4:$C$511,Summary!$B4,Detail!$I$4:$I$511)</f>
        <v>6550.1</v>
      </c>
      <c r="J4" s="18">
        <f>SUM(H4+I4)</f>
        <v>53507.500000000007</v>
      </c>
      <c r="K4" s="18">
        <f t="shared" ref="K4:K35" si="1">SUM(H4*0.15)</f>
        <v>7043.6100000000015</v>
      </c>
      <c r="L4" s="18">
        <f t="shared" ref="L4:L35" si="2">SUM(K4-I4)</f>
        <v>493.51000000000113</v>
      </c>
      <c r="M4" s="18">
        <f>SUMIF(Detail!$C$4:$C$511,Summary!$B4,Detail!$J$4:$J$511)</f>
        <v>0</v>
      </c>
      <c r="N4" s="18">
        <f>SUMIF(Detail!$C$4:$C$511,Summary!$B4,Detail!$K$4:$K$511)</f>
        <v>0</v>
      </c>
      <c r="O4" s="18">
        <f>SUMIF(Detail!$C$4:$C$511,Summary!$B4,Detail!$L$4:$L$511)</f>
        <v>0</v>
      </c>
      <c r="P4" s="18">
        <f>SUMIF(Detail!$C$4:$C$279, Summary!$B4, Detail!$M$4:$M$279)</f>
        <v>0</v>
      </c>
      <c r="Q4" s="26">
        <f>SUMIF(Detail!$C$4:$C$279, Summary!$B4, Detail!$N$4:$N$279)</f>
        <v>0</v>
      </c>
      <c r="R4" s="83">
        <f t="shared" ref="R4:R35" si="3">(D4+E4)-H4-I4-M4-N4-O4-P4-Q4</f>
        <v>-1.8189894035458565E-12</v>
      </c>
      <c r="S4" s="83"/>
    </row>
    <row r="5" spans="1:19" s="6" customFormat="1" x14ac:dyDescent="0.25">
      <c r="A5" s="40" t="s">
        <v>53</v>
      </c>
      <c r="B5" s="14" t="s">
        <v>54</v>
      </c>
      <c r="C5" s="78">
        <f>153520+25000</f>
        <v>178520</v>
      </c>
      <c r="D5" s="18">
        <f>SUMIF(Detail!$C$4:$C$511,Summary!$B5,Detail!$F$4:$F$511)</f>
        <v>86778.86</v>
      </c>
      <c r="E5" s="18">
        <f>SUMIF(Detail!$C$4:$C$511,Summary!$B5,Detail!$G$4:$G$511)</f>
        <v>2317.0300000000002</v>
      </c>
      <c r="F5" s="45">
        <f t="shared" ref="F5:F58" si="4">(SUM($D5:$E5)/$C5)</f>
        <v>0.4990807192471432</v>
      </c>
      <c r="G5" s="75">
        <f t="shared" si="0"/>
        <v>154757.26999999999</v>
      </c>
      <c r="H5" s="18">
        <f>SUMIF(Detail!$C$4:$C$511,Summary!$B5,Detail!$H$4:$H$511)</f>
        <v>21918.7</v>
      </c>
      <c r="I5" s="18">
        <f>SUMIF(Detail!$C$4:$C$511,Summary!$B5,Detail!$I$4:$I$511)</f>
        <v>1844.0300000000002</v>
      </c>
      <c r="J5" s="18">
        <f>SUM(H5+I5)</f>
        <v>23762.73</v>
      </c>
      <c r="K5" s="18">
        <f t="shared" si="1"/>
        <v>3287.8049999999998</v>
      </c>
      <c r="L5" s="18">
        <f t="shared" si="2"/>
        <v>1443.7749999999996</v>
      </c>
      <c r="M5" s="18">
        <f>SUMIF(Detail!$C$4:$C$511,Summary!$B5,Detail!$J$4:$J$511)</f>
        <v>0</v>
      </c>
      <c r="N5" s="18">
        <f>SUMIF(Detail!$C$4:$C$511,Summary!$B5,Detail!$K$4:$K$511)</f>
        <v>0</v>
      </c>
      <c r="O5" s="18">
        <f>SUMIF(Detail!$C$4:$C$511,Summary!$B5,Detail!$L$4:$L$511)</f>
        <v>65333.16</v>
      </c>
      <c r="P5" s="18">
        <f>SUMIF(Detail!$C$4:$C$279, Summary!$B5, Detail!$M$4:$M$279)</f>
        <v>0</v>
      </c>
      <c r="Q5" s="26">
        <f>SUMIF(Detail!$C$4:$C$279, Summary!$B5, Detail!$N$4:$N$279)</f>
        <v>0</v>
      </c>
      <c r="R5" s="83">
        <f t="shared" si="3"/>
        <v>0</v>
      </c>
      <c r="S5" s="83"/>
    </row>
    <row r="6" spans="1:19" x14ac:dyDescent="0.25">
      <c r="A6" s="41" t="s">
        <v>6</v>
      </c>
      <c r="B6" s="14" t="s">
        <v>25</v>
      </c>
      <c r="C6" s="78">
        <f>113379-15000-30000-10000-5000</f>
        <v>53379</v>
      </c>
      <c r="D6" s="18">
        <f>SUMIF(Detail!$C$4:$C$511,Summary!$B6,Detail!$F$4:$F$511)</f>
        <v>46360.79</v>
      </c>
      <c r="E6" s="18">
        <f>SUMIF(Detail!$C$4:$C$511,Summary!$B6,Detail!$G$4:$G$511)</f>
        <v>6958.4199999999992</v>
      </c>
      <c r="F6" s="45">
        <f t="shared" si="4"/>
        <v>0.99887989658854603</v>
      </c>
      <c r="G6" s="75">
        <f t="shared" si="0"/>
        <v>64.089999999996508</v>
      </c>
      <c r="H6" s="18">
        <f>SUMIF(Detail!$C$4:$C$511,Summary!$B6,Detail!$H$4:$H$511)</f>
        <v>46360.79</v>
      </c>
      <c r="I6" s="18">
        <f>SUMIF(Detail!$C$4:$C$511,Summary!$B6,Detail!$I$4:$I$511)</f>
        <v>6954.119999999999</v>
      </c>
      <c r="J6" s="18">
        <f t="shared" ref="J6:J60" si="5">SUM(H6+I6)</f>
        <v>53314.91</v>
      </c>
      <c r="K6" s="18">
        <f t="shared" si="1"/>
        <v>6954.1184999999996</v>
      </c>
      <c r="L6" s="18">
        <f t="shared" si="2"/>
        <v>-1.4999999993960955E-3</v>
      </c>
      <c r="M6" s="18">
        <f>SUMIF(Detail!$C$4:$C$511,Summary!$B6,Detail!$J$4:$J$511)</f>
        <v>0</v>
      </c>
      <c r="N6" s="18">
        <f>SUMIF(Detail!$C$4:$C$511,Summary!$B6,Detail!$K$4:$K$511)</f>
        <v>4.2999999999999545</v>
      </c>
      <c r="O6" s="18">
        <f>SUMIF(Detail!$C$4:$C$511,Summary!$B6,Detail!$L$4:$L$511)</f>
        <v>0</v>
      </c>
      <c r="P6" s="18">
        <f>SUMIF(Detail!$C$4:$C$279, Summary!$B6, Detail!$M$4:$M$279)</f>
        <v>0</v>
      </c>
      <c r="Q6" s="26">
        <f>SUMIF(Detail!$C$4:$C$279, Summary!$B6, Detail!$N$4:$N$279)</f>
        <v>0</v>
      </c>
      <c r="R6" s="83">
        <f t="shared" si="3"/>
        <v>-6.8212102632969618E-13</v>
      </c>
      <c r="S6" s="83"/>
    </row>
    <row r="7" spans="1:19" x14ac:dyDescent="0.25">
      <c r="A7" s="40" t="s">
        <v>6</v>
      </c>
      <c r="B7" s="14" t="s">
        <v>7</v>
      </c>
      <c r="C7" s="78">
        <f>191918-30000+17000</f>
        <v>178918</v>
      </c>
      <c r="D7" s="18">
        <f>SUMIF(Detail!$C$4:$C$511,Summary!$B7,Detail!$F$4:$F$511)</f>
        <v>155577.68</v>
      </c>
      <c r="E7" s="18">
        <f>SUMIF(Detail!$C$4:$C$511,Summary!$B7,Detail!$G$4:$G$511)</f>
        <v>23353.62</v>
      </c>
      <c r="F7" s="45">
        <f t="shared" si="4"/>
        <v>1.0000743357292168</v>
      </c>
      <c r="G7" s="75">
        <f t="shared" si="0"/>
        <v>3.6600000000034925</v>
      </c>
      <c r="H7" s="18">
        <f>SUMIF(Detail!$C$4:$C$511,Summary!$B7,Detail!$H$4:$H$511)</f>
        <v>155577.68</v>
      </c>
      <c r="I7" s="18">
        <f>SUMIF(Detail!$C$4:$C$511,Summary!$B7,Detail!$I$4:$I$511)</f>
        <v>23336.66</v>
      </c>
      <c r="J7" s="18">
        <f>SUM(H7+I7)</f>
        <v>178914.34</v>
      </c>
      <c r="K7" s="18">
        <f t="shared" si="1"/>
        <v>23336.651999999998</v>
      </c>
      <c r="L7" s="18">
        <f t="shared" si="2"/>
        <v>-8.0000000016298145E-3</v>
      </c>
      <c r="M7" s="18">
        <f>SUMIF(Detail!$C$4:$C$511,Summary!$B7,Detail!$J$4:$J$511)</f>
        <v>0</v>
      </c>
      <c r="N7" s="18">
        <f>SUMIF(Detail!$C$4:$C$511,Summary!$B7,Detail!$K$4:$K$511)</f>
        <v>16.960000000000036</v>
      </c>
      <c r="O7" s="18">
        <f>SUMIF(Detail!$C$4:$C$511,Summary!$B7,Detail!$L$4:$L$511)</f>
        <v>0</v>
      </c>
      <c r="P7" s="18">
        <f>SUMIF(Detail!$C$4:$C$279, Summary!$B7, Detail!$M$4:$M$279)</f>
        <v>0</v>
      </c>
      <c r="Q7" s="26">
        <f>SUMIF(Detail!$C$4:$C$279, Summary!$B7, Detail!$N$4:$N$279)</f>
        <v>0</v>
      </c>
      <c r="R7" s="83">
        <f t="shared" si="3"/>
        <v>-4.5474735088646412E-12</v>
      </c>
      <c r="S7" s="83"/>
    </row>
    <row r="8" spans="1:19" x14ac:dyDescent="0.25">
      <c r="A8" s="41" t="s">
        <v>51</v>
      </c>
      <c r="B8" s="14" t="s">
        <v>52</v>
      </c>
      <c r="C8" s="78">
        <f>870939+25000+15000</f>
        <v>910939</v>
      </c>
      <c r="D8" s="18">
        <f>SUMIF(Detail!$C$4:$C$511,Summary!$B8,Detail!$F$4:$F$511)</f>
        <v>810446.38</v>
      </c>
      <c r="E8" s="18">
        <f>SUMIF(Detail!$C$4:$C$511,Summary!$B8,Detail!$G$4:$G$511)</f>
        <v>99665.829999999987</v>
      </c>
      <c r="F8" s="45">
        <f t="shared" si="4"/>
        <v>0.99909237610860879</v>
      </c>
      <c r="G8" s="75">
        <f t="shared" si="0"/>
        <v>826.79000000003725</v>
      </c>
      <c r="H8" s="18">
        <f>SUMIF(Detail!$C$4:$C$511,Summary!$B8,Detail!$H$4:$H$511)</f>
        <v>810446.38</v>
      </c>
      <c r="I8" s="18">
        <f>SUMIF(Detail!$C$4:$C$511,Summary!$B8,Detail!$I$4:$I$511)</f>
        <v>99665.829999999987</v>
      </c>
      <c r="J8" s="18">
        <f t="shared" si="5"/>
        <v>910112.21</v>
      </c>
      <c r="K8" s="18">
        <f t="shared" si="1"/>
        <v>121566.95699999999</v>
      </c>
      <c r="L8" s="18">
        <f t="shared" si="2"/>
        <v>21901.127000000008</v>
      </c>
      <c r="M8" s="18">
        <f>SUMIF(Detail!$C$4:$C$511,Summary!$B8,Detail!$J$4:$J$511)</f>
        <v>0</v>
      </c>
      <c r="N8" s="18">
        <f>SUMIF(Detail!$C$4:$C$511,Summary!$B8,Detail!$K$4:$K$511)</f>
        <v>0</v>
      </c>
      <c r="O8" s="18">
        <f>SUMIF(Detail!$C$4:$C$511,Summary!$B8,Detail!$L$4:$L$511)</f>
        <v>0</v>
      </c>
      <c r="P8" s="18">
        <f>SUMIF(Detail!$C$4:$C$279, Summary!$B8, Detail!$M$4:$M$279)</f>
        <v>0</v>
      </c>
      <c r="Q8" s="26">
        <f>SUMIF(Detail!$C$4:$C$279, Summary!$B8, Detail!$N$4:$N$279)</f>
        <v>0</v>
      </c>
      <c r="R8" s="83">
        <f t="shared" si="3"/>
        <v>-2.9103830456733704E-11</v>
      </c>
      <c r="S8" s="83"/>
    </row>
    <row r="9" spans="1:19" x14ac:dyDescent="0.25">
      <c r="A9" s="41" t="s">
        <v>78</v>
      </c>
      <c r="B9" s="14" t="s">
        <v>86</v>
      </c>
      <c r="C9" s="78">
        <v>162829</v>
      </c>
      <c r="D9" s="18">
        <f>SUMIF(Detail!$C$4:$C$511,Summary!$B9,Detail!$F$4:$F$511)</f>
        <v>129514.61</v>
      </c>
      <c r="E9" s="18">
        <f>SUMIF(Detail!$C$4:$C$511,Summary!$B9,Detail!$G$4:$G$511)</f>
        <v>45218.27</v>
      </c>
      <c r="F9" s="45">
        <f>(SUM($D9:$E9)/$C9)</f>
        <v>1.07310663333927</v>
      </c>
      <c r="G9" s="75">
        <f t="shared" si="0"/>
        <v>13887.200000000012</v>
      </c>
      <c r="H9" s="18">
        <f>SUMIF(Detail!$C$4:$C$511,Summary!$B9,Detail!$H$4:$H$511)</f>
        <v>129514.61</v>
      </c>
      <c r="I9" s="18">
        <f>SUMIF(Detail!$C$4:$C$511,Summary!$B9,Detail!$I$4:$I$511)</f>
        <v>19427.189999999999</v>
      </c>
      <c r="J9" s="18">
        <f t="shared" si="5"/>
        <v>148941.79999999999</v>
      </c>
      <c r="K9" s="18">
        <f t="shared" si="1"/>
        <v>19427.191500000001</v>
      </c>
      <c r="L9" s="18">
        <f t="shared" si="2"/>
        <v>1.5000000021245796E-3</v>
      </c>
      <c r="M9" s="18">
        <f>SUMIF(Detail!$C$4:$C$511,Summary!$B9,Detail!$J$4:$J$511)</f>
        <v>0</v>
      </c>
      <c r="N9" s="18">
        <f>SUMIF(Detail!$C$4:$C$511,Summary!$B9,Detail!$K$4:$K$511)</f>
        <v>25791.08</v>
      </c>
      <c r="O9" s="18">
        <f>SUMIF(Detail!$C$4:$C$511,Summary!$B9,Detail!$L$4:$L$511)</f>
        <v>0</v>
      </c>
      <c r="P9" s="18">
        <f>SUMIF(Detail!$C$4:$C$279, Summary!$B9, Detail!$M$4:$M$279)</f>
        <v>0</v>
      </c>
      <c r="Q9" s="26">
        <f>SUMIF(Detail!$C$4:$C$279, Summary!$B9, Detail!$N$4:$N$279)</f>
        <v>0</v>
      </c>
      <c r="R9" s="83">
        <f t="shared" si="3"/>
        <v>3.637978807091713E-12</v>
      </c>
      <c r="S9" s="83"/>
    </row>
    <row r="10" spans="1:19" x14ac:dyDescent="0.25">
      <c r="A10" s="41" t="s">
        <v>22</v>
      </c>
      <c r="B10" s="14" t="s">
        <v>23</v>
      </c>
      <c r="C10" s="78">
        <f>127015-20000-30700</f>
        <v>76315</v>
      </c>
      <c r="D10" s="18">
        <f>SUMIF(Detail!$C$4:$C$511,Summary!$B10,Detail!$F$4:$F$511)</f>
        <v>65346.19</v>
      </c>
      <c r="E10" s="18">
        <f>SUMIF(Detail!$C$4:$C$511,Summary!$B10,Detail!$G$4:$G$511)</f>
        <v>7212.5</v>
      </c>
      <c r="F10" s="45">
        <f t="shared" si="4"/>
        <v>0.95077887702286579</v>
      </c>
      <c r="G10" s="75">
        <f t="shared" si="0"/>
        <v>3756.3099999999977</v>
      </c>
      <c r="H10" s="18">
        <f>SUMIF(Detail!$C$4:$C$511,Summary!$B10,Detail!$H$4:$H$511)</f>
        <v>65346.19</v>
      </c>
      <c r="I10" s="18">
        <f>SUMIF(Detail!$C$4:$C$511,Summary!$B10,Detail!$I$4:$I$511)</f>
        <v>7212.5</v>
      </c>
      <c r="J10" s="18">
        <f>SUM(H10+I10)</f>
        <v>72558.69</v>
      </c>
      <c r="K10" s="18">
        <f t="shared" si="1"/>
        <v>9801.9285</v>
      </c>
      <c r="L10" s="18">
        <f t="shared" si="2"/>
        <v>2589.4285</v>
      </c>
      <c r="M10" s="18">
        <f>SUMIF(Detail!$C$4:$C$511,Summary!$B10,Detail!$J$4:$J$511)</f>
        <v>0</v>
      </c>
      <c r="N10" s="18">
        <f>SUMIF(Detail!$C$4:$C$511,Summary!$B10,Detail!$K$4:$K$511)</f>
        <v>0</v>
      </c>
      <c r="O10" s="18">
        <f>SUMIF(Detail!$C$4:$C$511,Summary!$B10,Detail!$L$4:$L$511)</f>
        <v>0</v>
      </c>
      <c r="P10" s="18">
        <f>SUMIF(Detail!$C$4:$C$279, Summary!$B10, Detail!$M$4:$M$279)</f>
        <v>0</v>
      </c>
      <c r="Q10" s="26">
        <f>SUMIF(Detail!$C$4:$C$279, Summary!$B10, Detail!$N$4:$N$279)</f>
        <v>0</v>
      </c>
      <c r="R10" s="83">
        <f t="shared" si="3"/>
        <v>0</v>
      </c>
      <c r="S10" s="83"/>
    </row>
    <row r="11" spans="1:19" x14ac:dyDescent="0.25">
      <c r="A11" s="41" t="s">
        <v>37</v>
      </c>
      <c r="B11" s="14" t="s">
        <v>38</v>
      </c>
      <c r="C11" s="78">
        <f>63845-10200</f>
        <v>53645</v>
      </c>
      <c r="D11" s="18">
        <f>SUMIF(Detail!$C$4:$C$511,Summary!$B11,Detail!$F$4:$F$511)</f>
        <v>20703.150000000001</v>
      </c>
      <c r="E11" s="18">
        <f>SUMIF(Detail!$C$4:$C$511,Summary!$B11,Detail!$G$4:$G$511)</f>
        <v>2215.35</v>
      </c>
      <c r="F11" s="45">
        <f t="shared" si="4"/>
        <v>0.42722527728586074</v>
      </c>
      <c r="G11" s="75">
        <f t="shared" si="0"/>
        <v>30726.5</v>
      </c>
      <c r="H11" s="18">
        <f>SUMIF(Detail!$C$4:$C$511,Summary!$B11,Detail!$H$4:$H$511)</f>
        <v>20703.150000000001</v>
      </c>
      <c r="I11" s="18">
        <f>SUMIF(Detail!$C$4:$C$511,Summary!$B11,Detail!$I$4:$I$511)</f>
        <v>2215.35</v>
      </c>
      <c r="J11" s="18">
        <f t="shared" si="5"/>
        <v>22918.5</v>
      </c>
      <c r="K11" s="18">
        <f t="shared" si="1"/>
        <v>3105.4725000000003</v>
      </c>
      <c r="L11" s="18">
        <f t="shared" si="2"/>
        <v>890.1225000000004</v>
      </c>
      <c r="M11" s="18">
        <f>SUMIF(Detail!$C$4:$C$511,Summary!$B11,Detail!$J$4:$J$511)</f>
        <v>0</v>
      </c>
      <c r="N11" s="18">
        <f>SUMIF(Detail!$C$4:$C$511,Summary!$B11,Detail!$K$4:$K$511)</f>
        <v>0</v>
      </c>
      <c r="O11" s="18">
        <f>SUMIF(Detail!$C$4:$C$511,Summary!$B11,Detail!$L$4:$L$511)</f>
        <v>0</v>
      </c>
      <c r="P11" s="18">
        <f>SUMIF(Detail!$C$4:$C$279, Summary!$B11, Detail!$M$4:$M$279)</f>
        <v>0</v>
      </c>
      <c r="Q11" s="26">
        <f>SUMIF(Detail!$C$4:$C$279, Summary!$B11, Detail!$N$4:$N$279)</f>
        <v>0</v>
      </c>
      <c r="R11" s="83">
        <f t="shared" si="3"/>
        <v>-1.3642420526593924E-12</v>
      </c>
      <c r="S11" s="83"/>
    </row>
    <row r="12" spans="1:19" s="6" customFormat="1" x14ac:dyDescent="0.25">
      <c r="A12" s="40" t="s">
        <v>64</v>
      </c>
      <c r="B12" s="14" t="s">
        <v>65</v>
      </c>
      <c r="C12" s="78">
        <f>69826-20000-24400</f>
        <v>25426</v>
      </c>
      <c r="D12" s="18">
        <f>SUMIF(Detail!$C$4:$C$511,Summary!$B12,Detail!$F$4:$F$511)</f>
        <v>22952.53</v>
      </c>
      <c r="E12" s="18">
        <f>SUMIF(Detail!$C$4:$C$511,Summary!$B12,Detail!$G$4:$G$511)</f>
        <v>2473.4700000000003</v>
      </c>
      <c r="F12" s="45">
        <f t="shared" si="4"/>
        <v>1</v>
      </c>
      <c r="G12" s="75">
        <f t="shared" si="0"/>
        <v>0</v>
      </c>
      <c r="H12" s="18">
        <f>SUMIF(Detail!$C$4:$C$511,Summary!$B12,Detail!$H$4:$H$511)</f>
        <v>22952.53</v>
      </c>
      <c r="I12" s="18">
        <f>SUMIF(Detail!$C$4:$C$511,Summary!$B12,Detail!$I$4:$I$511)</f>
        <v>2473.4700000000003</v>
      </c>
      <c r="J12" s="18">
        <f t="shared" si="5"/>
        <v>25426</v>
      </c>
      <c r="K12" s="18">
        <f t="shared" si="1"/>
        <v>3442.8794999999996</v>
      </c>
      <c r="L12" s="18">
        <f t="shared" si="2"/>
        <v>969.4094999999993</v>
      </c>
      <c r="M12" s="18">
        <f>SUMIF(Detail!$C$4:$C$511,Summary!$B12,Detail!$J$4:$J$511)</f>
        <v>0</v>
      </c>
      <c r="N12" s="18">
        <f>SUMIF(Detail!$C$4:$C$511,Summary!$B12,Detail!$K$4:$K$511)</f>
        <v>0</v>
      </c>
      <c r="O12" s="18">
        <f>SUMIF(Detail!$C$4:$C$511,Summary!$B12,Detail!$L$4:$L$511)</f>
        <v>0</v>
      </c>
      <c r="P12" s="18">
        <f>SUMIF(Detail!$C$4:$C$279, Summary!$B12, Detail!$M$4:$M$279)</f>
        <v>0</v>
      </c>
      <c r="Q12" s="26">
        <f>SUMIF(Detail!$C$4:$C$279, Summary!$B12, Detail!$N$4:$N$279)</f>
        <v>0</v>
      </c>
      <c r="R12" s="83">
        <f t="shared" si="3"/>
        <v>9.0949470177292824E-13</v>
      </c>
      <c r="S12" s="83"/>
    </row>
    <row r="13" spans="1:19" s="6" customFormat="1" x14ac:dyDescent="0.25">
      <c r="A13" s="40" t="s">
        <v>20</v>
      </c>
      <c r="B13" s="14" t="s">
        <v>21</v>
      </c>
      <c r="C13" s="78">
        <f>468749-103000</f>
        <v>365749</v>
      </c>
      <c r="D13" s="18">
        <f>SUMIF(Detail!$C$4:$C$511,Summary!$B13,Detail!$F$4:$F$511)</f>
        <v>217776.93000000002</v>
      </c>
      <c r="E13" s="18">
        <f>SUMIF(Detail!$C$4:$C$511,Summary!$B13,Detail!$G$4:$G$511)</f>
        <v>32773.43</v>
      </c>
      <c r="F13" s="45">
        <f t="shared" si="4"/>
        <v>0.68503361594973611</v>
      </c>
      <c r="G13" s="75">
        <f t="shared" si="0"/>
        <v>118835.00999999998</v>
      </c>
      <c r="H13" s="18">
        <f>SUMIF(Detail!$C$4:$C$511,Summary!$B13,Detail!$H$4:$H$511)</f>
        <v>217501.93000000002</v>
      </c>
      <c r="I13" s="18">
        <f>SUMIF(Detail!$C$4:$C$511,Summary!$B13,Detail!$I$4:$I$511)</f>
        <v>29412.06</v>
      </c>
      <c r="J13" s="18">
        <f t="shared" si="5"/>
        <v>246913.99000000002</v>
      </c>
      <c r="K13" s="18">
        <f t="shared" si="1"/>
        <v>32625.289500000003</v>
      </c>
      <c r="L13" s="18">
        <f t="shared" si="2"/>
        <v>3213.2295000000013</v>
      </c>
      <c r="M13" s="18">
        <f>SUMIF(Detail!$C$4:$C$511,Summary!$B13,Detail!$J$4:$J$511)</f>
        <v>0</v>
      </c>
      <c r="N13" s="18">
        <f>SUMIF(Detail!$C$4:$C$511,Summary!$B13,Detail!$K$4:$K$511)</f>
        <v>3361.3700000000003</v>
      </c>
      <c r="O13" s="18">
        <f>SUMIF(Detail!$C$4:$C$511,Summary!$B13,Detail!$L$4:$L$511)</f>
        <v>0</v>
      </c>
      <c r="P13" s="18">
        <f>SUMIF(Detail!$C$4:$C$279, Summary!$B13, Detail!$M$4:$M$279)</f>
        <v>0</v>
      </c>
      <c r="Q13" s="26">
        <f>SUMIF(Detail!$C$4:$C$279, Summary!$B13, Detail!$N$4:$N$279)</f>
        <v>275</v>
      </c>
      <c r="R13" s="83">
        <f t="shared" si="3"/>
        <v>-8.6401996668428183E-12</v>
      </c>
      <c r="S13" s="83"/>
    </row>
    <row r="14" spans="1:19" s="6" customFormat="1" x14ac:dyDescent="0.25">
      <c r="A14" s="40" t="s">
        <v>12</v>
      </c>
      <c r="B14" s="14" t="s">
        <v>13</v>
      </c>
      <c r="C14" s="78">
        <f>263995+25000+160000+21500</f>
        <v>470495</v>
      </c>
      <c r="D14" s="18">
        <f>SUMIF(Detail!$C$4:$C$511,Summary!$B14,Detail!$F$4:$F$511)</f>
        <v>394941.19999999995</v>
      </c>
      <c r="E14" s="18">
        <f>SUMIF(Detail!$C$4:$C$511,Summary!$B14,Detail!$G$4:$G$511)</f>
        <v>74344.37</v>
      </c>
      <c r="F14" s="45">
        <f t="shared" si="4"/>
        <v>0.99742945196016952</v>
      </c>
      <c r="G14" s="75">
        <f t="shared" si="0"/>
        <v>16312.620000000054</v>
      </c>
      <c r="H14" s="18">
        <f>SUMIF(Detail!$C$4:$C$511,Summary!$B14,Detail!$H$4:$H$511)</f>
        <v>394941.19999999995</v>
      </c>
      <c r="I14" s="18">
        <f>SUMIF(Detail!$C$4:$C$511,Summary!$B14,Detail!$I$4:$I$511)</f>
        <v>59241.180000000008</v>
      </c>
      <c r="J14" s="18">
        <f t="shared" si="5"/>
        <v>454182.37999999995</v>
      </c>
      <c r="K14" s="18">
        <f t="shared" si="1"/>
        <v>59241.179999999993</v>
      </c>
      <c r="L14" s="18">
        <f t="shared" si="2"/>
        <v>-1.4551915228366852E-11</v>
      </c>
      <c r="M14" s="18">
        <f>SUMIF(Detail!$C$4:$C$511,Summary!$B14,Detail!$J$4:$J$511)</f>
        <v>0</v>
      </c>
      <c r="N14" s="18">
        <f>SUMIF(Detail!$C$4:$C$511,Summary!$B14,Detail!$K$4:$K$511)</f>
        <v>15103.189999999999</v>
      </c>
      <c r="O14" s="18">
        <f>SUMIF(Detail!$C$4:$C$511,Summary!$B14,Detail!$L$4:$L$511)</f>
        <v>0</v>
      </c>
      <c r="P14" s="18">
        <f>SUMIF(Detail!$C$4:$C$279, Summary!$B14, Detail!$M$4:$M$279)</f>
        <v>0</v>
      </c>
      <c r="Q14" s="26">
        <f>SUMIF(Detail!$C$4:$C$279, Summary!$B14, Detail!$N$4:$N$279)</f>
        <v>0</v>
      </c>
      <c r="R14" s="83">
        <f t="shared" si="3"/>
        <v>-1.0913936421275139E-11</v>
      </c>
      <c r="S14" s="83"/>
    </row>
    <row r="15" spans="1:19" x14ac:dyDescent="0.25">
      <c r="A15" s="41" t="s">
        <v>34</v>
      </c>
      <c r="B15" s="14" t="s">
        <v>35</v>
      </c>
      <c r="C15" s="78">
        <v>80070</v>
      </c>
      <c r="D15" s="18">
        <f>SUMIF(Detail!$C$4:$C$511,Summary!$B15,Detail!$F$4:$F$511)</f>
        <v>57106.68</v>
      </c>
      <c r="E15" s="18">
        <f>SUMIF(Detail!$C$4:$C$511,Summary!$B15,Detail!$G$4:$G$511)</f>
        <v>10492.67</v>
      </c>
      <c r="F15" s="45">
        <f t="shared" si="4"/>
        <v>0.84425315349069574</v>
      </c>
      <c r="G15" s="75">
        <f t="shared" si="0"/>
        <v>14397.320000000007</v>
      </c>
      <c r="H15" s="18">
        <f>SUMIF(Detail!$C$4:$C$511,Summary!$B15,Detail!$H$4:$H$511)</f>
        <v>57106.68</v>
      </c>
      <c r="I15" s="18">
        <f>SUMIF(Detail!$C$4:$C$511,Summary!$B15,Detail!$I$4:$I$511)</f>
        <v>8566</v>
      </c>
      <c r="J15" s="18">
        <f t="shared" si="5"/>
        <v>65672.679999999993</v>
      </c>
      <c r="K15" s="18">
        <f t="shared" si="1"/>
        <v>8566.0020000000004</v>
      </c>
      <c r="L15" s="18">
        <f t="shared" si="2"/>
        <v>2.0000000004074536E-3</v>
      </c>
      <c r="M15" s="18">
        <f>SUMIF(Detail!$C$4:$C$511,Summary!$B15,Detail!$J$4:$J$511)</f>
        <v>0</v>
      </c>
      <c r="N15" s="18">
        <f>SUMIF(Detail!$C$4:$C$511,Summary!$B15,Detail!$K$4:$K$511)</f>
        <v>1926.67</v>
      </c>
      <c r="O15" s="18">
        <f>SUMIF(Detail!$C$4:$C$511,Summary!$B15,Detail!$L$4:$L$511)</f>
        <v>0</v>
      </c>
      <c r="P15" s="18">
        <f>SUMIF(Detail!$C$4:$C$279, Summary!$B15, Detail!$M$4:$M$279)</f>
        <v>0</v>
      </c>
      <c r="Q15" s="26">
        <f>SUMIF(Detail!$C$4:$C$279, Summary!$B15, Detail!$N$4:$N$279)</f>
        <v>0</v>
      </c>
      <c r="R15" s="83">
        <f t="shared" si="3"/>
        <v>5.4569682106375694E-12</v>
      </c>
      <c r="S15" s="83"/>
    </row>
    <row r="16" spans="1:19" x14ac:dyDescent="0.25">
      <c r="A16" s="108" t="s">
        <v>62</v>
      </c>
      <c r="B16" s="14" t="s">
        <v>36</v>
      </c>
      <c r="C16" s="78">
        <f>116185+50000</f>
        <v>166185</v>
      </c>
      <c r="D16" s="18">
        <f>SUMIF(Detail!$C$4:$C$511,Summary!$B16,Detail!$F$4:$F$511)</f>
        <v>112706.17</v>
      </c>
      <c r="E16" s="18">
        <f>SUMIF(Detail!$C$4:$C$511,Summary!$B16,Detail!$G$4:$G$511)</f>
        <v>54418.18</v>
      </c>
      <c r="F16" s="45">
        <f t="shared" si="4"/>
        <v>1.0056524355387069</v>
      </c>
      <c r="G16" s="75">
        <f t="shared" si="0"/>
        <v>36572.899999999994</v>
      </c>
      <c r="H16" s="18">
        <f>SUMIF(Detail!$C$4:$C$511,Summary!$B16,Detail!$H$4:$H$511)</f>
        <v>112706.17</v>
      </c>
      <c r="I16" s="18">
        <f>SUMIF(Detail!$C$4:$C$511,Summary!$B16,Detail!$I$4:$I$511)</f>
        <v>16905.93</v>
      </c>
      <c r="J16" s="18">
        <f t="shared" si="5"/>
        <v>129612.1</v>
      </c>
      <c r="K16" s="18">
        <f t="shared" si="1"/>
        <v>16905.925499999998</v>
      </c>
      <c r="L16" s="18">
        <f t="shared" si="2"/>
        <v>-4.5000000027357601E-3</v>
      </c>
      <c r="M16" s="18">
        <f>SUMIF(Detail!$C$4:$C$511,Summary!$B16,Detail!$J$4:$J$511)</f>
        <v>0</v>
      </c>
      <c r="N16" s="18">
        <f>SUMIF(Detail!$C$4:$C$511,Summary!$B16,Detail!$K$4:$K$511)</f>
        <v>37512.25</v>
      </c>
      <c r="O16" s="18">
        <f>SUMIF(Detail!$C$4:$C$511,Summary!$B16,Detail!$L$4:$L$511)</f>
        <v>0</v>
      </c>
      <c r="P16" s="18">
        <f>SUMIF(Detail!$C$4:$C$279, Summary!$B16, Detail!$M$4:$M$279)</f>
        <v>0</v>
      </c>
      <c r="Q16" s="26">
        <f>SUMIF(Detail!$C$4:$C$279, Summary!$B16, Detail!$N$4:$N$279)</f>
        <v>0</v>
      </c>
      <c r="R16" s="83">
        <f t="shared" si="3"/>
        <v>7.2759576141834259E-12</v>
      </c>
      <c r="S16" s="83"/>
    </row>
    <row r="17" spans="1:19" s="6" customFormat="1" x14ac:dyDescent="0.25">
      <c r="A17" s="40" t="s">
        <v>69</v>
      </c>
      <c r="B17" s="14" t="s">
        <v>70</v>
      </c>
      <c r="C17" s="78">
        <f>84526-25000</f>
        <v>59526</v>
      </c>
      <c r="D17" s="18">
        <f>SUMIF(Detail!$C$4:$C$511,Summary!$B17,Detail!$F$4:$F$511)</f>
        <v>48627.200000000004</v>
      </c>
      <c r="E17" s="18">
        <f>SUMIF(Detail!$C$4:$C$511,Summary!$B17,Detail!$G$4:$G$511)</f>
        <v>7294.16</v>
      </c>
      <c r="F17" s="45">
        <f t="shared" si="4"/>
        <v>0.93944427645062667</v>
      </c>
      <c r="G17" s="75">
        <f t="shared" si="0"/>
        <v>3604.7199999999939</v>
      </c>
      <c r="H17" s="18">
        <f>SUMIF(Detail!$C$4:$C$511,Summary!$B17,Detail!$H$4:$H$511)</f>
        <v>48627.200000000004</v>
      </c>
      <c r="I17" s="18">
        <f>SUMIF(Detail!$C$4:$C$511,Summary!$B17,Detail!$I$4:$I$511)</f>
        <v>7294.08</v>
      </c>
      <c r="J17" s="18">
        <f t="shared" si="5"/>
        <v>55921.280000000006</v>
      </c>
      <c r="K17" s="18">
        <f t="shared" si="1"/>
        <v>7294.0800000000008</v>
      </c>
      <c r="L17" s="18">
        <f t="shared" si="2"/>
        <v>9.0949470177292824E-13</v>
      </c>
      <c r="M17" s="18">
        <f>SUMIF(Detail!$C$4:$C$511,Summary!$B17,Detail!$J$4:$J$511)</f>
        <v>0</v>
      </c>
      <c r="N17" s="18">
        <f>SUMIF(Detail!$C$4:$C$511,Summary!$B17,Detail!$K$4:$K$511)</f>
        <v>7.999999999992724E-2</v>
      </c>
      <c r="O17" s="18">
        <f>SUMIF(Detail!$C$4:$C$511,Summary!$B17,Detail!$L$4:$L$511)</f>
        <v>0</v>
      </c>
      <c r="P17" s="18">
        <f>SUMIF(Detail!$C$4:$C$279, Summary!$B17, Detail!$M$4:$M$279)</f>
        <v>0</v>
      </c>
      <c r="Q17" s="26">
        <f>SUMIF(Detail!$C$4:$C$279, Summary!$B17, Detail!$N$4:$N$279)</f>
        <v>0</v>
      </c>
      <c r="R17" s="83">
        <f t="shared" si="3"/>
        <v>-3.637978807091713E-12</v>
      </c>
      <c r="S17" s="83"/>
    </row>
    <row r="18" spans="1:19" s="6" customFormat="1" x14ac:dyDescent="0.25">
      <c r="A18" s="40" t="s">
        <v>66</v>
      </c>
      <c r="B18" s="14" t="s">
        <v>67</v>
      </c>
      <c r="C18" s="78">
        <f>325887-56400</f>
        <v>269487</v>
      </c>
      <c r="D18" s="18">
        <f>SUMIF(Detail!$C$4:$C$511,Summary!$B18,Detail!$F$4:$F$511)</f>
        <v>154793.87</v>
      </c>
      <c r="E18" s="18">
        <f>SUMIF(Detail!$C$4:$C$511,Summary!$B18,Detail!$G$4:$G$511)</f>
        <v>28620.09</v>
      </c>
      <c r="F18" s="45">
        <f t="shared" si="4"/>
        <v>0.68060411077343241</v>
      </c>
      <c r="G18" s="75">
        <f t="shared" si="0"/>
        <v>91474.050000000017</v>
      </c>
      <c r="H18" s="18">
        <f>SUMIF(Detail!$C$4:$C$511,Summary!$B18,Detail!$H$4:$H$511)</f>
        <v>154793.87</v>
      </c>
      <c r="I18" s="18">
        <f>SUMIF(Detail!$C$4:$C$511,Summary!$B18,Detail!$I$4:$I$511)</f>
        <v>23219.079999999998</v>
      </c>
      <c r="J18" s="18">
        <f t="shared" si="5"/>
        <v>178012.94999999998</v>
      </c>
      <c r="K18" s="18">
        <f t="shared" si="1"/>
        <v>23219.0805</v>
      </c>
      <c r="L18" s="18">
        <f t="shared" si="2"/>
        <v>5.0000000192085281E-4</v>
      </c>
      <c r="M18" s="18">
        <f>SUMIF(Detail!$C$4:$C$511,Summary!$B18,Detail!$J$4:$J$511)</f>
        <v>0</v>
      </c>
      <c r="N18" s="18">
        <f>SUMIF(Detail!$C$4:$C$511,Summary!$B18,Detail!$K$4:$K$511)</f>
        <v>5401.01</v>
      </c>
      <c r="O18" s="18">
        <f>SUMIF(Detail!$C$4:$C$511,Summary!$B18,Detail!$L$4:$L$511)</f>
        <v>0</v>
      </c>
      <c r="P18" s="18">
        <f>SUMIF(Detail!$C$4:$C$279, Summary!$B18, Detail!$M$4:$M$279)</f>
        <v>0</v>
      </c>
      <c r="Q18" s="26">
        <f>SUMIF(Detail!$C$4:$C$279, Summary!$B18, Detail!$N$4:$N$279)</f>
        <v>0</v>
      </c>
      <c r="R18" s="83">
        <f t="shared" si="3"/>
        <v>-1.8189894035458565E-12</v>
      </c>
      <c r="S18" s="83"/>
    </row>
    <row r="19" spans="1:19" x14ac:dyDescent="0.25">
      <c r="A19" s="41" t="s">
        <v>6</v>
      </c>
      <c r="B19" s="14" t="s">
        <v>55</v>
      </c>
      <c r="C19" s="78">
        <f>190724-20000-10000-20000-20000-4500</f>
        <v>116224</v>
      </c>
      <c r="D19" s="18">
        <f>SUMIF(Detail!$C$4:$C$511,Summary!$B19,Detail!$F$4:$F$511)</f>
        <v>100840.18</v>
      </c>
      <c r="E19" s="18">
        <f>SUMIF(Detail!$C$4:$C$511,Summary!$B19,Detail!$G$4:$G$511)</f>
        <v>15137.210000000001</v>
      </c>
      <c r="F19" s="45">
        <f t="shared" si="4"/>
        <v>0.99787814909140971</v>
      </c>
      <c r="G19" s="75">
        <f t="shared" si="0"/>
        <v>257.79000000000815</v>
      </c>
      <c r="H19" s="18">
        <f>SUMIF(Detail!$C$4:$C$511,Summary!$B19,Detail!$H$4:$H$511)</f>
        <v>100840.18</v>
      </c>
      <c r="I19" s="18">
        <f>SUMIF(Detail!$C$4:$C$511,Summary!$B19,Detail!$I$4:$I$511)</f>
        <v>15126.03</v>
      </c>
      <c r="J19" s="18">
        <f t="shared" si="5"/>
        <v>115966.20999999999</v>
      </c>
      <c r="K19" s="18">
        <f t="shared" si="1"/>
        <v>15126.026999999998</v>
      </c>
      <c r="L19" s="18">
        <f t="shared" si="2"/>
        <v>-3.0000000024301698E-3</v>
      </c>
      <c r="M19" s="18">
        <f>SUMIF(Detail!$C$4:$C$511,Summary!$B19,Detail!$J$4:$J$511)</f>
        <v>0</v>
      </c>
      <c r="N19" s="18">
        <f>SUMIF(Detail!$C$4:$C$511,Summary!$B19,Detail!$K$4:$K$511)</f>
        <v>11.179999999999836</v>
      </c>
      <c r="O19" s="18">
        <f>SUMIF(Detail!$C$4:$C$511,Summary!$B19,Detail!$L$4:$L$511)</f>
        <v>0</v>
      </c>
      <c r="P19" s="18">
        <f>SUMIF(Detail!$C$4:$C$279, Summary!$B19, Detail!$M$4:$M$279)</f>
        <v>0</v>
      </c>
      <c r="Q19" s="26">
        <f>SUMIF(Detail!$C$4:$C$279, Summary!$B19, Detail!$N$4:$N$279)</f>
        <v>0</v>
      </c>
      <c r="R19" s="83">
        <f t="shared" si="3"/>
        <v>5.9117155615240335E-12</v>
      </c>
      <c r="S19" s="83"/>
    </row>
    <row r="20" spans="1:19" s="6" customFormat="1" x14ac:dyDescent="0.25">
      <c r="A20" s="40" t="s">
        <v>71</v>
      </c>
      <c r="B20" s="14" t="s">
        <v>72</v>
      </c>
      <c r="C20" s="78">
        <f>111978+20000+20000</f>
        <v>151978</v>
      </c>
      <c r="D20" s="18">
        <f>SUMIF(Detail!$C$4:$C$511,Summary!$B20,Detail!$F$4:$F$511)</f>
        <v>130229.94</v>
      </c>
      <c r="E20" s="18">
        <f>SUMIF(Detail!$C$4:$C$511,Summary!$B20,Detail!$G$4:$G$511)</f>
        <v>16996.72</v>
      </c>
      <c r="F20" s="45">
        <f t="shared" si="4"/>
        <v>0.96873665925331298</v>
      </c>
      <c r="G20" s="75">
        <f t="shared" si="0"/>
        <v>4751.3399999999965</v>
      </c>
      <c r="H20" s="18">
        <f>SUMIF(Detail!$C$4:$C$511,Summary!$B20,Detail!$H$4:$H$511)</f>
        <v>130229.94</v>
      </c>
      <c r="I20" s="18">
        <f>SUMIF(Detail!$C$4:$C$511,Summary!$B20,Detail!$I$4:$I$511)</f>
        <v>16996.72</v>
      </c>
      <c r="J20" s="18">
        <f t="shared" si="5"/>
        <v>147226.66</v>
      </c>
      <c r="K20" s="18">
        <f t="shared" si="1"/>
        <v>19534.490999999998</v>
      </c>
      <c r="L20" s="18">
        <f t="shared" si="2"/>
        <v>2537.770999999997</v>
      </c>
      <c r="M20" s="18">
        <f>SUMIF(Detail!$C$4:$C$511,Summary!$B20,Detail!$J$4:$J$511)</f>
        <v>0</v>
      </c>
      <c r="N20" s="18">
        <f>SUMIF(Detail!$C$4:$C$511,Summary!$B20,Detail!$K$4:$K$511)</f>
        <v>0</v>
      </c>
      <c r="O20" s="18">
        <f>SUMIF(Detail!$C$4:$C$511,Summary!$B20,Detail!$L$4:$L$511)</f>
        <v>0</v>
      </c>
      <c r="P20" s="18">
        <f>SUMIF(Detail!$C$4:$C$279, Summary!$B20, Detail!$M$4:$M$279)</f>
        <v>0</v>
      </c>
      <c r="Q20" s="26">
        <f>SUMIF(Detail!$C$4:$C$279, Summary!$B20, Detail!$N$4:$N$279)</f>
        <v>0</v>
      </c>
      <c r="R20" s="83">
        <f t="shared" si="3"/>
        <v>0</v>
      </c>
      <c r="S20" s="83"/>
    </row>
    <row r="21" spans="1:19" x14ac:dyDescent="0.25">
      <c r="A21" s="41" t="s">
        <v>60</v>
      </c>
      <c r="B21" s="14" t="s">
        <v>61</v>
      </c>
      <c r="C21" s="78">
        <v>144131</v>
      </c>
      <c r="D21" s="18">
        <f>SUMIF(Detail!$C$4:$C$511,Summary!$B21,Detail!$F$4:$F$511)</f>
        <v>15491.600000000002</v>
      </c>
      <c r="E21" s="18">
        <f>SUMIF(Detail!$C$4:$C$511,Summary!$B21,Detail!$G$4:$G$511)</f>
        <v>1704.17</v>
      </c>
      <c r="F21" s="45">
        <f t="shared" si="4"/>
        <v>0.11930653363953628</v>
      </c>
      <c r="G21" s="75">
        <f t="shared" si="0"/>
        <v>126935.23</v>
      </c>
      <c r="H21" s="18">
        <f>SUMIF(Detail!$C$4:$C$511,Summary!$B21,Detail!$H$4:$H$511)</f>
        <v>15491.600000000002</v>
      </c>
      <c r="I21" s="18">
        <f>SUMIF(Detail!$C$4:$C$511,Summary!$B21,Detail!$I$4:$I$511)</f>
        <v>1704.17</v>
      </c>
      <c r="J21" s="18">
        <f t="shared" si="5"/>
        <v>17195.770000000004</v>
      </c>
      <c r="K21" s="18">
        <f t="shared" si="1"/>
        <v>2323.7400000000002</v>
      </c>
      <c r="L21" s="18">
        <f t="shared" si="2"/>
        <v>619.57000000000016</v>
      </c>
      <c r="M21" s="18">
        <f>SUMIF(Detail!$C$4:$C$511,Summary!$B21,Detail!$J$4:$J$511)</f>
        <v>0</v>
      </c>
      <c r="N21" s="18">
        <f>SUMIF(Detail!$C$4:$C$511,Summary!$B21,Detail!$K$4:$K$511)</f>
        <v>0</v>
      </c>
      <c r="O21" s="18">
        <f>SUMIF(Detail!$C$4:$C$511,Summary!$B21,Detail!$L$4:$L$511)</f>
        <v>0</v>
      </c>
      <c r="P21" s="18">
        <f>SUMIF(Detail!$C$4:$C$279, Summary!$B21, Detail!$M$4:$M$279)</f>
        <v>0</v>
      </c>
      <c r="Q21" s="26">
        <f>SUMIF(Detail!$C$4:$C$279, Summary!$B21, Detail!$N$4:$N$279)</f>
        <v>0</v>
      </c>
      <c r="R21" s="83">
        <f t="shared" si="3"/>
        <v>1.8189894035458565E-12</v>
      </c>
      <c r="S21" s="83"/>
    </row>
    <row r="22" spans="1:19" s="6" customFormat="1" x14ac:dyDescent="0.25">
      <c r="A22" s="40" t="s">
        <v>49</v>
      </c>
      <c r="B22" s="14" t="s">
        <v>50</v>
      </c>
      <c r="C22" s="78">
        <f>149060+25000</f>
        <v>174060</v>
      </c>
      <c r="D22" s="18">
        <f>SUMIF(Detail!$C$4:$C$511,Summary!$B22,Detail!$F$4:$F$511)</f>
        <v>157761.42999999996</v>
      </c>
      <c r="E22" s="18">
        <f>SUMIF(Detail!$C$4:$C$511,Summary!$B22,Detail!$G$4:$G$511)</f>
        <v>16353.569999999998</v>
      </c>
      <c r="F22" s="45">
        <f t="shared" si="4"/>
        <v>1.0003159829943695</v>
      </c>
      <c r="G22" s="75">
        <f t="shared" si="0"/>
        <v>2.9103830456733704E-11</v>
      </c>
      <c r="H22" s="18">
        <f>SUMIF(Detail!$C$4:$C$511,Summary!$B22,Detail!$H$4:$H$511)</f>
        <v>157761.42999999996</v>
      </c>
      <c r="I22" s="18">
        <f>SUMIF(Detail!$C$4:$C$511,Summary!$B22,Detail!$I$4:$I$511)</f>
        <v>16298.569999999998</v>
      </c>
      <c r="J22" s="18">
        <f t="shared" si="5"/>
        <v>174059.99999999997</v>
      </c>
      <c r="K22" s="18">
        <f t="shared" si="1"/>
        <v>23664.214499999995</v>
      </c>
      <c r="L22" s="18">
        <f t="shared" si="2"/>
        <v>7365.6444999999967</v>
      </c>
      <c r="M22" s="18">
        <f>SUMIF(Detail!$C$4:$C$511,Summary!$B22,Detail!$J$4:$J$511)</f>
        <v>0</v>
      </c>
      <c r="N22" s="18">
        <f>SUMIF(Detail!$C$4:$C$511,Summary!$B22,Detail!$K$4:$K$511)</f>
        <v>55</v>
      </c>
      <c r="O22" s="18">
        <f>SUMIF(Detail!$C$4:$C$511,Summary!$B22,Detail!$L$4:$L$511)</f>
        <v>0</v>
      </c>
      <c r="P22" s="18">
        <f>SUMIF(Detail!$C$4:$C$279, Summary!$B22, Detail!$M$4:$M$279)</f>
        <v>0</v>
      </c>
      <c r="Q22" s="26">
        <f>SUMIF(Detail!$C$4:$C$279, Summary!$B22, Detail!$N$4:$N$279)</f>
        <v>0</v>
      </c>
      <c r="R22" s="83">
        <f t="shared" si="3"/>
        <v>9.0949470177292824E-12</v>
      </c>
      <c r="S22" s="83"/>
    </row>
    <row r="23" spans="1:19" x14ac:dyDescent="0.25">
      <c r="A23" s="41" t="s">
        <v>6</v>
      </c>
      <c r="B23" s="14" t="s">
        <v>8</v>
      </c>
      <c r="C23" s="78">
        <f>193335+40000+60000</f>
        <v>293335</v>
      </c>
      <c r="D23" s="18">
        <f>SUMIF(Detail!$C$4:$C$511,Summary!$B23,Detail!$F$4:$F$511)</f>
        <v>255051.18000000002</v>
      </c>
      <c r="E23" s="18">
        <f>SUMIF(Detail!$C$4:$C$511,Summary!$B23,Detail!$G$4:$G$511)</f>
        <v>38261.799999999996</v>
      </c>
      <c r="F23" s="45">
        <f t="shared" si="4"/>
        <v>0.99992493224470325</v>
      </c>
      <c r="G23" s="75">
        <f t="shared" si="0"/>
        <v>26.149999999965075</v>
      </c>
      <c r="H23" s="18">
        <f>SUMIF(Detail!$C$4:$C$511,Summary!$B23,Detail!$H$4:$H$511)</f>
        <v>255051.18000000002</v>
      </c>
      <c r="I23" s="18">
        <f>SUMIF(Detail!$C$4:$C$511,Summary!$B23,Detail!$I$4:$I$511)</f>
        <v>38257.67</v>
      </c>
      <c r="J23" s="18">
        <f>SUM(H23+I23)</f>
        <v>293308.85000000003</v>
      </c>
      <c r="K23" s="18">
        <f t="shared" si="1"/>
        <v>38257.677000000003</v>
      </c>
      <c r="L23" s="18">
        <f t="shared" si="2"/>
        <v>7.0000000050640665E-3</v>
      </c>
      <c r="M23" s="18">
        <f>SUMIF(Detail!$C$4:$C$511,Summary!$B23,Detail!$J$4:$J$511)</f>
        <v>0</v>
      </c>
      <c r="N23" s="18">
        <f>SUMIF(Detail!$C$4:$C$511,Summary!$B23,Detail!$K$4:$K$511)</f>
        <v>4.1300000000010186</v>
      </c>
      <c r="O23" s="18">
        <f>SUMIF(Detail!$C$4:$C$511,Summary!$B23,Detail!$L$4:$L$511)</f>
        <v>0</v>
      </c>
      <c r="P23" s="18">
        <f>SUMIF(Detail!$C$4:$C$279, Summary!$B23, Detail!$M$4:$M$279)</f>
        <v>0</v>
      </c>
      <c r="Q23" s="26">
        <f>SUMIF(Detail!$C$4:$C$279, Summary!$B23, Detail!$N$4:$N$279)</f>
        <v>0</v>
      </c>
      <c r="R23" s="83">
        <f t="shared" si="3"/>
        <v>1.8189894035458565E-11</v>
      </c>
      <c r="S23" s="83"/>
    </row>
    <row r="24" spans="1:19" x14ac:dyDescent="0.25">
      <c r="A24" s="41" t="s">
        <v>6</v>
      </c>
      <c r="B24" s="14" t="s">
        <v>9</v>
      </c>
      <c r="C24" s="78">
        <f>176973+60000</f>
        <v>236973</v>
      </c>
      <c r="D24" s="18">
        <f>SUMIF(Detail!$C$4:$C$511,Summary!$B24,Detail!$F$4:$F$511)</f>
        <v>206059.28</v>
      </c>
      <c r="E24" s="18">
        <f>SUMIF(Detail!$C$4:$C$511,Summary!$B24,Detail!$G$4:$G$511)</f>
        <v>30917.040000000001</v>
      </c>
      <c r="F24" s="45">
        <f t="shared" si="4"/>
        <v>1.0000140100348984</v>
      </c>
      <c r="G24" s="75">
        <f t="shared" si="0"/>
        <v>4.8200000000069849</v>
      </c>
      <c r="H24" s="18">
        <f>SUMIF(Detail!$C$4:$C$511,Summary!$B24,Detail!$H$4:$H$511)</f>
        <v>206059.28</v>
      </c>
      <c r="I24" s="18">
        <f>SUMIF(Detail!$C$4:$C$511,Summary!$B24,Detail!$I$4:$I$511)</f>
        <v>30908.9</v>
      </c>
      <c r="J24" s="18">
        <f t="shared" si="5"/>
        <v>236968.18</v>
      </c>
      <c r="K24" s="18">
        <f t="shared" si="1"/>
        <v>30908.892</v>
      </c>
      <c r="L24" s="18">
        <f t="shared" si="2"/>
        <v>-8.0000000016298145E-3</v>
      </c>
      <c r="M24" s="18">
        <f>SUMIF(Detail!$C$4:$C$511,Summary!$B24,Detail!$J$4:$J$511)</f>
        <v>0</v>
      </c>
      <c r="N24" s="18">
        <f>SUMIF(Detail!$C$4:$C$511,Summary!$B24,Detail!$K$4:$K$511)</f>
        <v>8.1400000000003274</v>
      </c>
      <c r="O24" s="18">
        <f>SUMIF(Detail!$C$4:$C$511,Summary!$B24,Detail!$L$4:$L$511)</f>
        <v>0</v>
      </c>
      <c r="P24" s="18">
        <f>SUMIF(Detail!$C$4:$C$279, Summary!$B24, Detail!$M$4:$M$279)</f>
        <v>0</v>
      </c>
      <c r="Q24" s="26">
        <f>SUMIF(Detail!$C$4:$C$279, Summary!$B24, Detail!$N$4:$N$279)</f>
        <v>0</v>
      </c>
      <c r="R24" s="83">
        <f t="shared" si="3"/>
        <v>6.3664629124104977E-12</v>
      </c>
      <c r="S24" s="83"/>
    </row>
    <row r="25" spans="1:19" x14ac:dyDescent="0.25">
      <c r="A25" s="41" t="s">
        <v>79</v>
      </c>
      <c r="B25" s="14" t="s">
        <v>87</v>
      </c>
      <c r="C25" s="78">
        <f>78447+20000+15000</f>
        <v>113447</v>
      </c>
      <c r="D25" s="18">
        <f>SUMIF(Detail!$C$4:$C$511,Summary!$B25,Detail!$F$4:$F$511)</f>
        <v>94835.31</v>
      </c>
      <c r="E25" s="18">
        <f>SUMIF(Detail!$C$4:$C$511,Summary!$B25,Detail!$G$4:$G$511)</f>
        <v>37218.35</v>
      </c>
      <c r="F25" s="45">
        <f t="shared" si="4"/>
        <v>1.164011917459254</v>
      </c>
      <c r="G25" s="75">
        <f t="shared" si="0"/>
        <v>3332.8800000000047</v>
      </c>
      <c r="H25" s="18">
        <f>SUMIF(Detail!$C$4:$C$511,Summary!$B25,Detail!$H$4:$H$511)</f>
        <v>94835.31</v>
      </c>
      <c r="I25" s="18">
        <f>SUMIF(Detail!$C$4:$C$511,Summary!$B25,Detail!$I$4:$I$511)</f>
        <v>15278.81</v>
      </c>
      <c r="J25" s="18">
        <f t="shared" si="5"/>
        <v>110114.12</v>
      </c>
      <c r="K25" s="18">
        <f t="shared" si="1"/>
        <v>14225.296499999999</v>
      </c>
      <c r="L25" s="18">
        <f t="shared" si="2"/>
        <v>-1053.5135000000009</v>
      </c>
      <c r="M25" s="18">
        <f>SUMIF(Detail!$C$4:$C$511,Summary!$B25,Detail!$J$4:$J$511)</f>
        <v>0</v>
      </c>
      <c r="N25" s="18">
        <f>SUMIF(Detail!$C$4:$C$511,Summary!$B25,Detail!$K$4:$K$511)</f>
        <v>21939.540000000005</v>
      </c>
      <c r="O25" s="18">
        <f>SUMIF(Detail!$C$4:$C$511,Summary!$B25,Detail!$L$4:$L$511)</f>
        <v>0</v>
      </c>
      <c r="P25" s="18">
        <f>SUMIF(Detail!$C$4:$C$279, Summary!$B25, Detail!$M$4:$M$279)</f>
        <v>0</v>
      </c>
      <c r="Q25" s="26">
        <f>SUMIF(Detail!$C$4:$C$279, Summary!$B25, Detail!$N$4:$N$279)</f>
        <v>0</v>
      </c>
      <c r="R25" s="83">
        <f t="shared" si="3"/>
        <v>3.637978807091713E-12</v>
      </c>
      <c r="S25" s="83"/>
    </row>
    <row r="26" spans="1:19" x14ac:dyDescent="0.25">
      <c r="A26" s="41" t="s">
        <v>6</v>
      </c>
      <c r="B26" s="14" t="s">
        <v>88</v>
      </c>
      <c r="C26" s="78">
        <f>261927-25000-25000-10000+3400</f>
        <v>205327</v>
      </c>
      <c r="D26" s="18">
        <f>SUMIF(Detail!$C$4:$C$511,Summary!$B26,Detail!$F$4:$F$511)</f>
        <v>178472.95999999999</v>
      </c>
      <c r="E26" s="18">
        <f>SUMIF(Detail!$C$4:$C$511,Summary!$B26,Detail!$G$4:$G$511)</f>
        <v>29559.699999999997</v>
      </c>
      <c r="F26" s="45">
        <f t="shared" si="4"/>
        <v>1.0131773220277898</v>
      </c>
      <c r="G26" s="75">
        <f t="shared" si="0"/>
        <v>83.100000000005821</v>
      </c>
      <c r="H26" s="18">
        <f>SUMIF(Detail!$C$4:$C$511,Summary!$B26,Detail!$H$4:$H$511)</f>
        <v>178472.95999999999</v>
      </c>
      <c r="I26" s="18">
        <f>SUMIF(Detail!$C$4:$C$511,Summary!$B26,Detail!$I$4:$I$511)</f>
        <v>26770.940000000002</v>
      </c>
      <c r="J26" s="18">
        <f t="shared" si="5"/>
        <v>205243.9</v>
      </c>
      <c r="K26" s="18">
        <f t="shared" si="1"/>
        <v>26770.944</v>
      </c>
      <c r="L26" s="18">
        <f t="shared" si="2"/>
        <v>3.9999999971769284E-3</v>
      </c>
      <c r="M26" s="18">
        <f>SUMIF(Detail!$C$4:$C$511,Summary!$B26,Detail!$J$4:$J$511)</f>
        <v>0</v>
      </c>
      <c r="N26" s="18">
        <f>SUMIF(Detail!$C$4:$C$511,Summary!$B26,Detail!$K$4:$K$511)</f>
        <v>2788.7599999999998</v>
      </c>
      <c r="O26" s="18">
        <f>SUMIF(Detail!$C$4:$C$511,Summary!$B26,Detail!$L$4:$L$511)</f>
        <v>0</v>
      </c>
      <c r="P26" s="18">
        <f>SUMIF(Detail!$C$4:$C$279, Summary!$B26, Detail!$M$4:$M$279)</f>
        <v>0</v>
      </c>
      <c r="Q26" s="26">
        <f>SUMIF(Detail!$C$4:$C$279, Summary!$B26, Detail!$N$4:$N$279)</f>
        <v>0</v>
      </c>
      <c r="R26" s="83">
        <f t="shared" si="3"/>
        <v>-1.9554136088117957E-11</v>
      </c>
      <c r="S26" s="83"/>
    </row>
    <row r="27" spans="1:19" x14ac:dyDescent="0.25">
      <c r="A27" s="41" t="s">
        <v>6</v>
      </c>
      <c r="B27" s="14" t="s">
        <v>14</v>
      </c>
      <c r="C27" s="78">
        <f>166084-20000+20000+40000</f>
        <v>206084</v>
      </c>
      <c r="D27" s="18">
        <f>SUMIF(Detail!$C$4:$C$511,Summary!$B27,Detail!$F$4:$F$511)</f>
        <v>179173.53</v>
      </c>
      <c r="E27" s="18">
        <f>SUMIF(Detail!$C$4:$C$511,Summary!$B27,Detail!$G$4:$G$511)</f>
        <v>26878.850000000002</v>
      </c>
      <c r="F27" s="45">
        <f t="shared" si="4"/>
        <v>0.99984656741911071</v>
      </c>
      <c r="G27" s="75">
        <f t="shared" si="0"/>
        <v>34.440000000002328</v>
      </c>
      <c r="H27" s="18">
        <f>SUMIF(Detail!$C$4:$C$511,Summary!$B27,Detail!$H$4:$H$511)</f>
        <v>179173.53</v>
      </c>
      <c r="I27" s="18">
        <f>SUMIF(Detail!$C$4:$C$511,Summary!$B27,Detail!$I$4:$I$511)</f>
        <v>26876.03</v>
      </c>
      <c r="J27" s="18">
        <f>SUM(H27+I27)</f>
        <v>206049.56</v>
      </c>
      <c r="K27" s="18">
        <f t="shared" si="1"/>
        <v>26876.029500000001</v>
      </c>
      <c r="L27" s="18">
        <f t="shared" si="2"/>
        <v>-4.99999998282874E-4</v>
      </c>
      <c r="M27" s="18">
        <f>SUMIF(Detail!$C$4:$C$511,Summary!$B27,Detail!$J$4:$J$511)</f>
        <v>0</v>
      </c>
      <c r="N27" s="18">
        <f>SUMIF(Detail!$C$4:$C$511,Summary!$B27,Detail!$K$4:$K$511)</f>
        <v>2.8200000000001637</v>
      </c>
      <c r="O27" s="18">
        <f>SUMIF(Detail!$C$4:$C$511,Summary!$B27,Detail!$L$4:$L$511)</f>
        <v>0</v>
      </c>
      <c r="P27" s="18">
        <f>SUMIF(Detail!$C$4:$C$279, Summary!$B27, Detail!$M$4:$M$279)</f>
        <v>0</v>
      </c>
      <c r="Q27" s="26">
        <f>SUMIF(Detail!$C$4:$C$279, Summary!$B27, Detail!$N$4:$N$279)</f>
        <v>0</v>
      </c>
      <c r="R27" s="83">
        <f t="shared" si="3"/>
        <v>6.8212102632969618E-12</v>
      </c>
      <c r="S27" s="83"/>
    </row>
    <row r="28" spans="1:19" s="6" customFormat="1" x14ac:dyDescent="0.25">
      <c r="A28" s="40" t="s">
        <v>56</v>
      </c>
      <c r="B28" s="14" t="s">
        <v>57</v>
      </c>
      <c r="C28" s="78">
        <f>179444+23200</f>
        <v>202644</v>
      </c>
      <c r="D28" s="18">
        <f>SUMIF(Detail!$C$4:$C$511,Summary!$B28,Detail!$F$4:$F$511)</f>
        <v>184261.51</v>
      </c>
      <c r="E28" s="18">
        <f>SUMIF(Detail!$C$4:$C$511,Summary!$B28,Detail!$G$4:$G$511)</f>
        <v>18287.580000000002</v>
      </c>
      <c r="F28" s="45">
        <f t="shared" si="4"/>
        <v>0.99953164169676889</v>
      </c>
      <c r="G28" s="75">
        <f t="shared" si="0"/>
        <v>94.909999999974389</v>
      </c>
      <c r="H28" s="18">
        <f>SUMIF(Detail!$C$4:$C$511,Summary!$B28,Detail!$H$4:$H$511)</f>
        <v>184261.51</v>
      </c>
      <c r="I28" s="18">
        <f>SUMIF(Detail!$C$4:$C$511,Summary!$B28,Detail!$I$4:$I$511)</f>
        <v>18287.580000000002</v>
      </c>
      <c r="J28" s="18">
        <f t="shared" si="5"/>
        <v>202549.09000000003</v>
      </c>
      <c r="K28" s="18">
        <f t="shared" si="1"/>
        <v>27639.226500000001</v>
      </c>
      <c r="L28" s="18">
        <f t="shared" si="2"/>
        <v>9351.6464999999989</v>
      </c>
      <c r="M28" s="18">
        <f>SUMIF(Detail!$C$4:$C$511,Summary!$B28,Detail!$J$4:$J$511)</f>
        <v>0</v>
      </c>
      <c r="N28" s="18">
        <f>SUMIF(Detail!$C$4:$C$511,Summary!$B28,Detail!$K$4:$K$511)</f>
        <v>0</v>
      </c>
      <c r="O28" s="18">
        <f>SUMIF(Detail!$C$4:$C$511,Summary!$B28,Detail!$L$4:$L$511)</f>
        <v>0</v>
      </c>
      <c r="P28" s="18">
        <f>SUMIF(Detail!$C$4:$C$279, Summary!$B28, Detail!$M$4:$M$279)</f>
        <v>0</v>
      </c>
      <c r="Q28" s="26">
        <f>SUMIF(Detail!$C$4:$C$279, Summary!$B28, Detail!$N$4:$N$279)</f>
        <v>0</v>
      </c>
      <c r="R28" s="83">
        <f t="shared" si="3"/>
        <v>1.4551915228366852E-11</v>
      </c>
      <c r="S28" s="83"/>
    </row>
    <row r="29" spans="1:19" s="6" customFormat="1" x14ac:dyDescent="0.25">
      <c r="A29" s="40" t="s">
        <v>6</v>
      </c>
      <c r="B29" s="14" t="s">
        <v>15</v>
      </c>
      <c r="C29" s="78">
        <f>114060-10000-1000</f>
        <v>103060</v>
      </c>
      <c r="D29" s="18">
        <f>SUMIF(Detail!$C$4:$C$511,Summary!$B29,Detail!$F$4:$F$511)</f>
        <v>89544.85</v>
      </c>
      <c r="E29" s="18">
        <f>SUMIF(Detail!$C$4:$C$511,Summary!$B29,Detail!$G$4:$G$511)</f>
        <v>13442.99</v>
      </c>
      <c r="F29" s="45">
        <f t="shared" si="4"/>
        <v>0.9992998253444596</v>
      </c>
      <c r="G29" s="75">
        <f t="shared" si="0"/>
        <v>83.429999999993015</v>
      </c>
      <c r="H29" s="18">
        <f>SUMIF(Detail!$C$4:$C$511,Summary!$B29,Detail!$H$4:$H$511)</f>
        <v>89544.85</v>
      </c>
      <c r="I29" s="18">
        <f>SUMIF(Detail!$C$4:$C$511,Summary!$B29,Detail!$I$4:$I$511)</f>
        <v>13431.72</v>
      </c>
      <c r="J29" s="18">
        <f t="shared" si="5"/>
        <v>102976.57</v>
      </c>
      <c r="K29" s="18">
        <f t="shared" si="1"/>
        <v>13431.727500000001</v>
      </c>
      <c r="L29" s="18">
        <f t="shared" si="2"/>
        <v>7.5000000015279511E-3</v>
      </c>
      <c r="M29" s="18">
        <f>SUMIF(Detail!$C$4:$C$511,Summary!$B29,Detail!$J$4:$J$511)</f>
        <v>0</v>
      </c>
      <c r="N29" s="18">
        <f>SUMIF(Detail!$C$4:$C$511,Summary!$B29,Detail!$K$4:$K$511)</f>
        <v>11.269999999999982</v>
      </c>
      <c r="O29" s="18">
        <f>SUMIF(Detail!$C$4:$C$511,Summary!$B29,Detail!$L$4:$L$511)</f>
        <v>0</v>
      </c>
      <c r="P29" s="18">
        <f>SUMIF(Detail!$C$4:$C$279, Summary!$B29, Detail!$M$4:$M$279)</f>
        <v>0</v>
      </c>
      <c r="Q29" s="26">
        <f>SUMIF(Detail!$C$4:$C$279, Summary!$B29, Detail!$N$4:$N$279)</f>
        <v>0</v>
      </c>
      <c r="R29" s="83">
        <f t="shared" si="3"/>
        <v>5.9117155615240335E-12</v>
      </c>
      <c r="S29" s="83"/>
    </row>
    <row r="30" spans="1:19" x14ac:dyDescent="0.25">
      <c r="A30" s="41" t="s">
        <v>6</v>
      </c>
      <c r="B30" s="14" t="s">
        <v>26</v>
      </c>
      <c r="C30" s="78">
        <f>71741-10000-1000</f>
        <v>60741</v>
      </c>
      <c r="D30" s="18">
        <f>SUMIF(Detail!$C$4:$C$511,Summary!$B30,Detail!$F$4:$F$511)</f>
        <v>52794.31</v>
      </c>
      <c r="E30" s="18">
        <f>SUMIF(Detail!$C$4:$C$511,Summary!$B30,Detail!$G$4:$G$511)</f>
        <v>7931.4699999999993</v>
      </c>
      <c r="F30" s="45">
        <f t="shared" si="4"/>
        <v>0.99974942789878329</v>
      </c>
      <c r="G30" s="75">
        <f t="shared" si="0"/>
        <v>27.540000000000873</v>
      </c>
      <c r="H30" s="18">
        <f>SUMIF(Detail!$C$4:$C$511,Summary!$B30,Detail!$H$4:$H$511)</f>
        <v>52794.31</v>
      </c>
      <c r="I30" s="18">
        <f>SUMIF(Detail!$C$4:$C$511,Summary!$B30,Detail!$I$4:$I$511)</f>
        <v>7919.15</v>
      </c>
      <c r="J30" s="18">
        <f t="shared" si="5"/>
        <v>60713.46</v>
      </c>
      <c r="K30" s="18">
        <f t="shared" si="1"/>
        <v>7919.1464999999989</v>
      </c>
      <c r="L30" s="18">
        <f t="shared" si="2"/>
        <v>-3.5000000007130438E-3</v>
      </c>
      <c r="M30" s="18">
        <f>SUMIF(Detail!$C$4:$C$511,Summary!$B30,Detail!$J$4:$J$511)</f>
        <v>0</v>
      </c>
      <c r="N30" s="18">
        <f>SUMIF(Detail!$C$4:$C$511,Summary!$B30,Detail!$K$4:$K$511)</f>
        <v>12.319999999999936</v>
      </c>
      <c r="O30" s="18">
        <f>SUMIF(Detail!$C$4:$C$511,Summary!$B30,Detail!$L$4:$L$511)</f>
        <v>0</v>
      </c>
      <c r="P30" s="18">
        <f>SUMIF(Detail!$C$4:$C$279, Summary!$B30, Detail!$M$4:$M$279)</f>
        <v>0</v>
      </c>
      <c r="Q30" s="26">
        <f>SUMIF(Detail!$C$4:$C$279, Summary!$B30, Detail!$N$4:$N$279)</f>
        <v>0</v>
      </c>
      <c r="R30" s="83">
        <f t="shared" si="3"/>
        <v>1.5916157281026244E-12</v>
      </c>
      <c r="S30" s="83"/>
    </row>
    <row r="31" spans="1:19" x14ac:dyDescent="0.25">
      <c r="A31" s="41" t="s">
        <v>81</v>
      </c>
      <c r="B31" s="14" t="s">
        <v>89</v>
      </c>
      <c r="C31" s="78">
        <f>260909+50000</f>
        <v>310909</v>
      </c>
      <c r="D31" s="18">
        <f>SUMIF(Detail!$C$4:$C$511,Summary!$B31,Detail!$F$4:$F$511)</f>
        <v>217100.82000000007</v>
      </c>
      <c r="E31" s="18">
        <f>SUMIF(Detail!$C$4:$C$511,Summary!$B31,Detail!$G$4:$G$511)</f>
        <v>32565.119999999999</v>
      </c>
      <c r="F31" s="45">
        <f t="shared" si="4"/>
        <v>0.80301934006413467</v>
      </c>
      <c r="G31" s="75">
        <f t="shared" si="0"/>
        <v>61243.059999999939</v>
      </c>
      <c r="H31" s="18">
        <f>SUMIF(Detail!$C$4:$C$511,Summary!$B31,Detail!$H$4:$H$511)</f>
        <v>217100.82000000007</v>
      </c>
      <c r="I31" s="18">
        <f>SUMIF(Detail!$C$4:$C$511,Summary!$B31,Detail!$I$4:$I$511)</f>
        <v>32565.119999999999</v>
      </c>
      <c r="J31" s="18">
        <f t="shared" si="5"/>
        <v>249665.94000000006</v>
      </c>
      <c r="K31" s="18">
        <f t="shared" si="1"/>
        <v>32565.123000000007</v>
      </c>
      <c r="L31" s="18">
        <f t="shared" si="2"/>
        <v>3.0000000078871381E-3</v>
      </c>
      <c r="M31" s="18">
        <f>SUMIF(Detail!$C$4:$C$511,Summary!$B31,Detail!$J$4:$J$511)</f>
        <v>0</v>
      </c>
      <c r="N31" s="18">
        <f>SUMIF(Detail!$C$4:$C$511,Summary!$B31,Detail!$K$4:$K$511)</f>
        <v>0</v>
      </c>
      <c r="O31" s="18">
        <f>SUMIF(Detail!$C$4:$C$511,Summary!$B31,Detail!$L$4:$L$511)</f>
        <v>0</v>
      </c>
      <c r="P31" s="18">
        <f>SUMIF(Detail!$C$4:$C$279, Summary!$B31, Detail!$M$4:$M$279)</f>
        <v>0</v>
      </c>
      <c r="Q31" s="26">
        <f>SUMIF(Detail!$C$4:$C$279, Summary!$B31, Detail!$N$4:$N$279)</f>
        <v>0</v>
      </c>
      <c r="R31" s="83">
        <f t="shared" si="3"/>
        <v>-3.637978807091713E-12</v>
      </c>
      <c r="S31" s="83"/>
    </row>
    <row r="32" spans="1:19" s="6" customFormat="1" x14ac:dyDescent="0.25">
      <c r="A32" s="40" t="s">
        <v>45</v>
      </c>
      <c r="B32" s="14" t="s">
        <v>46</v>
      </c>
      <c r="C32" s="78">
        <v>65492</v>
      </c>
      <c r="D32" s="18">
        <f>SUMIF(Detail!$C$4:$C$511,Summary!$B32,Detail!$F$4:$F$511)</f>
        <v>24223.909999999996</v>
      </c>
      <c r="E32" s="18">
        <f>SUMIF(Detail!$C$4:$C$511,Summary!$B32,Detail!$G$4:$G$511)</f>
        <v>4105.5</v>
      </c>
      <c r="F32" s="45">
        <f t="shared" si="4"/>
        <v>0.43256290844683315</v>
      </c>
      <c r="G32" s="75">
        <f t="shared" si="0"/>
        <v>37634.5</v>
      </c>
      <c r="H32" s="18">
        <f>SUMIF(Detail!$C$4:$C$511,Summary!$B32,Detail!$H$4:$H$511)</f>
        <v>24223.909999999996</v>
      </c>
      <c r="I32" s="18">
        <f>SUMIF(Detail!$C$4:$C$511,Summary!$B32,Detail!$I$4:$I$511)</f>
        <v>3633.59</v>
      </c>
      <c r="J32" s="18">
        <f t="shared" si="5"/>
        <v>27857.499999999996</v>
      </c>
      <c r="K32" s="18">
        <f t="shared" si="1"/>
        <v>3633.5864999999994</v>
      </c>
      <c r="L32" s="18">
        <f t="shared" si="2"/>
        <v>-3.5000000007130438E-3</v>
      </c>
      <c r="M32" s="18">
        <f>SUMIF(Detail!$C$4:$C$511,Summary!$B32,Detail!$J$4:$J$511)</f>
        <v>0</v>
      </c>
      <c r="N32" s="18">
        <f>SUMIF(Detail!$C$4:$C$511,Summary!$B32,Detail!$K$4:$K$511)</f>
        <v>471.90999999999997</v>
      </c>
      <c r="O32" s="18">
        <f>SUMIF(Detail!$C$4:$C$511,Summary!$B32,Detail!$L$4:$L$511)</f>
        <v>0</v>
      </c>
      <c r="P32" s="18">
        <f>SUMIF(Detail!$C$4:$C$279, Summary!$B32, Detail!$M$4:$M$279)</f>
        <v>0</v>
      </c>
      <c r="Q32" s="26">
        <f>SUMIF(Detail!$C$4:$C$279, Summary!$B32, Detail!$N$4:$N$279)</f>
        <v>0</v>
      </c>
      <c r="R32" s="83">
        <f t="shared" si="3"/>
        <v>-1.1368683772161603E-13</v>
      </c>
      <c r="S32" s="83"/>
    </row>
    <row r="33" spans="1:19" s="6" customFormat="1" x14ac:dyDescent="0.25">
      <c r="A33" s="40" t="s">
        <v>120</v>
      </c>
      <c r="B33" s="14" t="s">
        <v>68</v>
      </c>
      <c r="C33" s="78">
        <f>90017-29150</f>
        <v>60867</v>
      </c>
      <c r="D33" s="18">
        <f>SUMIF(Detail!$C$4:$C$511,Summary!$B33,Detail!$F$4:$F$511)</f>
        <v>42965.51</v>
      </c>
      <c r="E33" s="18">
        <f>SUMIF(Detail!$C$4:$C$511,Summary!$B33,Detail!$G$4:$G$511)</f>
        <v>5403.2800000000007</v>
      </c>
      <c r="F33" s="45">
        <f t="shared" si="4"/>
        <v>0.79466361082359904</v>
      </c>
      <c r="G33" s="75">
        <f t="shared" si="0"/>
        <v>12498.21</v>
      </c>
      <c r="H33" s="18">
        <f>SUMIF(Detail!$C$4:$C$511,Summary!$B33,Detail!$H$4:$H$511)</f>
        <v>42965.51</v>
      </c>
      <c r="I33" s="18">
        <f>SUMIF(Detail!$C$4:$C$511,Summary!$B33,Detail!$I$4:$I$511)</f>
        <v>5403.2800000000007</v>
      </c>
      <c r="J33" s="18">
        <f t="shared" si="5"/>
        <v>48368.79</v>
      </c>
      <c r="K33" s="18">
        <f t="shared" si="1"/>
        <v>6444.8265000000001</v>
      </c>
      <c r="L33" s="18">
        <f t="shared" si="2"/>
        <v>1041.5464999999995</v>
      </c>
      <c r="M33" s="18">
        <f>SUMIF(Detail!$C$4:$C$511,Summary!$B33,Detail!$J$4:$J$511)</f>
        <v>0</v>
      </c>
      <c r="N33" s="18">
        <f>SUMIF(Detail!$C$4:$C$511,Summary!$B33,Detail!$K$4:$K$511)</f>
        <v>0</v>
      </c>
      <c r="O33" s="18">
        <f>SUMIF(Detail!$C$4:$C$511,Summary!$B33,Detail!$L$4:$L$511)</f>
        <v>0</v>
      </c>
      <c r="P33" s="18">
        <f>SUMIF(Detail!$C$4:$C$279, Summary!$B33, Detail!$M$4:$M$279)</f>
        <v>0</v>
      </c>
      <c r="Q33" s="26">
        <f>SUMIF(Detail!$C$4:$C$279, Summary!$B33, Detail!$N$4:$N$279)</f>
        <v>0</v>
      </c>
      <c r="R33" s="83">
        <f t="shared" si="3"/>
        <v>-1.8189894035458565E-12</v>
      </c>
      <c r="S33" s="83"/>
    </row>
    <row r="34" spans="1:19" s="6" customFormat="1" x14ac:dyDescent="0.25">
      <c r="A34" s="40" t="s">
        <v>47</v>
      </c>
      <c r="B34" s="14" t="s">
        <v>48</v>
      </c>
      <c r="C34" s="78">
        <f>78344-14800</f>
        <v>63544</v>
      </c>
      <c r="D34" s="18">
        <f>SUMIF(Detail!$C$4:$C$511,Summary!$B34,Detail!$F$4:$F$511)</f>
        <v>37188.920000000006</v>
      </c>
      <c r="E34" s="18">
        <f>SUMIF(Detail!$C$4:$C$511,Summary!$B34,Detail!$G$4:$G$511)</f>
        <v>11596.38</v>
      </c>
      <c r="F34" s="45">
        <f t="shared" si="4"/>
        <v>0.76774046330101986</v>
      </c>
      <c r="G34" s="75">
        <f t="shared" si="0"/>
        <v>20708.999999999993</v>
      </c>
      <c r="H34" s="18">
        <f>SUMIF(Detail!$C$4:$C$511,Summary!$B34,Detail!$H$4:$H$511)</f>
        <v>37188.920000000006</v>
      </c>
      <c r="I34" s="18">
        <f>SUMIF(Detail!$C$4:$C$511,Summary!$B34,Detail!$I$4:$I$511)</f>
        <v>5646.0800000000008</v>
      </c>
      <c r="J34" s="18">
        <f t="shared" si="5"/>
        <v>42835.000000000007</v>
      </c>
      <c r="K34" s="18">
        <f t="shared" si="1"/>
        <v>5578.3380000000006</v>
      </c>
      <c r="L34" s="18">
        <f t="shared" si="2"/>
        <v>-67.742000000000189</v>
      </c>
      <c r="M34" s="18">
        <f>SUMIF(Detail!$C$4:$C$511,Summary!$B34,Detail!$J$4:$J$511)</f>
        <v>0</v>
      </c>
      <c r="N34" s="18">
        <f>SUMIF(Detail!$C$4:$C$511,Summary!$B34,Detail!$K$4:$K$511)</f>
        <v>5950.2999999999993</v>
      </c>
      <c r="O34" s="18">
        <f>SUMIF(Detail!$C$4:$C$511,Summary!$B34,Detail!$L$4:$L$511)</f>
        <v>0</v>
      </c>
      <c r="P34" s="18">
        <f>SUMIF(Detail!$C$4:$C$279, Summary!$B34, Detail!$M$4:$M$279)</f>
        <v>0</v>
      </c>
      <c r="Q34" s="26">
        <f>SUMIF(Detail!$C$4:$C$279, Summary!$B34, Detail!$N$4:$N$279)</f>
        <v>0</v>
      </c>
      <c r="R34" s="83">
        <f t="shared" si="3"/>
        <v>-2.7284841053187847E-12</v>
      </c>
      <c r="S34" s="83"/>
    </row>
    <row r="35" spans="1:19" x14ac:dyDescent="0.25">
      <c r="A35" s="41" t="s">
        <v>43</v>
      </c>
      <c r="B35" s="14" t="s">
        <v>44</v>
      </c>
      <c r="C35" s="78">
        <f>240591-50000-38000</f>
        <v>152591</v>
      </c>
      <c r="D35" s="18">
        <f>SUMIF(Detail!$C$4:$C$511,Summary!$B35,Detail!$F$4:$F$511)</f>
        <v>123124.12</v>
      </c>
      <c r="E35" s="18">
        <f>SUMIF(Detail!$C$4:$C$511,Summary!$B35,Detail!$G$4:$G$511)</f>
        <v>18257.04</v>
      </c>
      <c r="F35" s="45">
        <f t="shared" si="4"/>
        <v>0.92653668958195434</v>
      </c>
      <c r="G35" s="75">
        <f t="shared" si="0"/>
        <v>11209.839999999997</v>
      </c>
      <c r="H35" s="18">
        <f>SUMIF(Detail!$C$4:$C$511,Summary!$B35,Detail!$H$4:$H$511)</f>
        <v>123124.12</v>
      </c>
      <c r="I35" s="18">
        <f>SUMIF(Detail!$C$4:$C$511,Summary!$B35,Detail!$I$4:$I$511)</f>
        <v>18257.04</v>
      </c>
      <c r="J35" s="18">
        <f t="shared" si="5"/>
        <v>141381.16</v>
      </c>
      <c r="K35" s="18">
        <f t="shared" si="1"/>
        <v>18468.617999999999</v>
      </c>
      <c r="L35" s="18">
        <f t="shared" si="2"/>
        <v>211.5779999999977</v>
      </c>
      <c r="M35" s="18">
        <f>SUMIF(Detail!$C$4:$C$511,Summary!$B35,Detail!$J$4:$J$511)</f>
        <v>0</v>
      </c>
      <c r="N35" s="18">
        <f>SUMIF(Detail!$C$4:$C$511,Summary!$B35,Detail!$K$4:$K$511)</f>
        <v>0</v>
      </c>
      <c r="O35" s="18">
        <f>SUMIF(Detail!$C$4:$C$511,Summary!$B35,Detail!$L$4:$L$511)</f>
        <v>0</v>
      </c>
      <c r="P35" s="18">
        <f>SUMIF(Detail!$C$4:$C$279, Summary!$B35, Detail!$M$4:$M$279)</f>
        <v>0</v>
      </c>
      <c r="Q35" s="26">
        <f>SUMIF(Detail!$C$4:$C$279, Summary!$B35, Detail!$N$4:$N$279)</f>
        <v>0</v>
      </c>
      <c r="R35" s="83">
        <f t="shared" si="3"/>
        <v>7.2759576141834259E-12</v>
      </c>
      <c r="S35" s="83"/>
    </row>
    <row r="36" spans="1:19" x14ac:dyDescent="0.25">
      <c r="A36" s="41" t="s">
        <v>6</v>
      </c>
      <c r="B36" s="14" t="s">
        <v>27</v>
      </c>
      <c r="C36" s="78">
        <f>94659-3000</f>
        <v>91659</v>
      </c>
      <c r="D36" s="18">
        <f>SUMIF(Detail!$C$4:$C$511,Summary!$B36,Detail!$F$4:$F$511)</f>
        <v>79208.180000000008</v>
      </c>
      <c r="E36" s="18">
        <f>SUMIF(Detail!$C$4:$C$511,Summary!$B36,Detail!$G$4:$G$511)</f>
        <v>11195.04</v>
      </c>
      <c r="F36" s="45">
        <f t="shared" si="4"/>
        <v>0.98629943595282521</v>
      </c>
      <c r="G36" s="75">
        <f t="shared" ref="G36:G58" si="6">SUM(C36-J36)</f>
        <v>1255.7799999999988</v>
      </c>
      <c r="H36" s="18">
        <f>SUMIF(Detail!$C$4:$C$511,Summary!$B36,Detail!$H$4:$H$511)</f>
        <v>79208.180000000008</v>
      </c>
      <c r="I36" s="18">
        <f>SUMIF(Detail!$C$4:$C$511,Summary!$B36,Detail!$I$4:$I$511)</f>
        <v>11195.04</v>
      </c>
      <c r="J36" s="18">
        <f t="shared" si="5"/>
        <v>90403.22</v>
      </c>
      <c r="K36" s="18">
        <f t="shared" ref="K36:K56" si="7">SUM(H36*0.15)</f>
        <v>11881.227000000001</v>
      </c>
      <c r="L36" s="18">
        <f t="shared" ref="L36:L56" si="8">SUM(K36-I36)</f>
        <v>686.1869999999999</v>
      </c>
      <c r="M36" s="18">
        <f>SUMIF(Detail!$C$4:$C$511,Summary!$B36,Detail!$J$4:$J$511)</f>
        <v>0</v>
      </c>
      <c r="N36" s="18">
        <f>SUMIF(Detail!$C$4:$C$511,Summary!$B36,Detail!$K$4:$K$511)</f>
        <v>0</v>
      </c>
      <c r="O36" s="18">
        <f>SUMIF(Detail!$C$4:$C$511,Summary!$B36,Detail!$L$4:$L$511)</f>
        <v>0</v>
      </c>
      <c r="P36" s="18">
        <f>SUMIF(Detail!$C$4:$C$279, Summary!$B36, Detail!$M$4:$M$279)</f>
        <v>0</v>
      </c>
      <c r="Q36" s="26">
        <f>SUMIF(Detail!$C$4:$C$279, Summary!$B36, Detail!$N$4:$N$279)</f>
        <v>0</v>
      </c>
      <c r="R36" s="83">
        <f t="shared" ref="R36:R56" si="9">(D36+E36)-H36-I36-M36-N36-O36-P36-Q36</f>
        <v>-7.2759576141834259E-12</v>
      </c>
      <c r="S36" s="83"/>
    </row>
    <row r="37" spans="1:19" s="6" customFormat="1" x14ac:dyDescent="0.25">
      <c r="A37" s="40" t="s">
        <v>6</v>
      </c>
      <c r="B37" s="14" t="s">
        <v>73</v>
      </c>
      <c r="C37" s="78">
        <f>109754-10000+9000</f>
        <v>108754</v>
      </c>
      <c r="D37" s="18">
        <f>SUMIF(Detail!$C$4:$C$511,Summary!$B37,Detail!$F$4:$F$511)</f>
        <v>94347.42</v>
      </c>
      <c r="E37" s="18">
        <f>SUMIF(Detail!$C$4:$C$511,Summary!$B37,Detail!$G$4:$G$511)</f>
        <v>14161.060000000001</v>
      </c>
      <c r="F37" s="45">
        <f t="shared" si="4"/>
        <v>0.99774242786472223</v>
      </c>
      <c r="G37" s="75">
        <f t="shared" si="6"/>
        <v>254.47000000000116</v>
      </c>
      <c r="H37" s="18">
        <f>SUMIF(Detail!$C$4:$C$511,Summary!$B37,Detail!$H$4:$H$511)</f>
        <v>94347.42</v>
      </c>
      <c r="I37" s="18">
        <f>SUMIF(Detail!$C$4:$C$511,Summary!$B37,Detail!$I$4:$I$511)</f>
        <v>14152.11</v>
      </c>
      <c r="J37" s="18">
        <f t="shared" si="5"/>
        <v>108499.53</v>
      </c>
      <c r="K37" s="18">
        <f t="shared" si="7"/>
        <v>14152.112999999999</v>
      </c>
      <c r="L37" s="18">
        <f t="shared" si="8"/>
        <v>2.999999998792191E-3</v>
      </c>
      <c r="M37" s="18">
        <f>SUMIF(Detail!$C$4:$C$511,Summary!$B37,Detail!$J$4:$J$511)</f>
        <v>0</v>
      </c>
      <c r="N37" s="18">
        <f>SUMIF(Detail!$C$4:$C$511,Summary!$B37,Detail!$K$4:$K$511)</f>
        <v>8.9499999999998181</v>
      </c>
      <c r="O37" s="18">
        <f>SUMIF(Detail!$C$4:$C$511,Summary!$B37,Detail!$L$4:$L$511)</f>
        <v>0</v>
      </c>
      <c r="P37" s="18">
        <f>SUMIF(Detail!$C$4:$C$279, Summary!$B37, Detail!$M$4:$M$279)</f>
        <v>0</v>
      </c>
      <c r="Q37" s="26">
        <f>SUMIF(Detail!$C$4:$C$279, Summary!$B37, Detail!$N$4:$N$279)</f>
        <v>0</v>
      </c>
      <c r="R37" s="83">
        <f t="shared" si="9"/>
        <v>-2.7284841053187847E-12</v>
      </c>
      <c r="S37" s="83"/>
    </row>
    <row r="38" spans="1:19" s="6" customFormat="1" x14ac:dyDescent="0.25">
      <c r="A38" s="40" t="s">
        <v>62</v>
      </c>
      <c r="B38" s="14" t="s">
        <v>63</v>
      </c>
      <c r="C38" s="78">
        <f>470854-75000+10000</f>
        <v>405854</v>
      </c>
      <c r="D38" s="18">
        <f>SUMIF(Detail!$C$4:$C$511,Summary!$B38,Detail!$F$4:$F$511)</f>
        <v>336671.12</v>
      </c>
      <c r="E38" s="18">
        <f>SUMIF(Detail!$C$4:$C$511,Summary!$B38,Detail!$G$4:$G$511)</f>
        <v>183990.34000000003</v>
      </c>
      <c r="F38" s="45">
        <f t="shared" si="4"/>
        <v>1.2828787199337692</v>
      </c>
      <c r="G38" s="75">
        <f t="shared" si="6"/>
        <v>18682.210000000021</v>
      </c>
      <c r="H38" s="18">
        <f>SUMIF(Detail!$C$4:$C$511,Summary!$B38,Detail!$H$4:$H$511)</f>
        <v>336671.12</v>
      </c>
      <c r="I38" s="18">
        <f>SUMIF(Detail!$C$4:$C$511,Summary!$B38,Detail!$I$4:$I$511)</f>
        <v>50500.670000000006</v>
      </c>
      <c r="J38" s="18">
        <f t="shared" si="5"/>
        <v>387171.79</v>
      </c>
      <c r="K38" s="18">
        <f t="shared" si="7"/>
        <v>50500.667999999998</v>
      </c>
      <c r="L38" s="18">
        <f t="shared" si="8"/>
        <v>-2.0000000076834112E-3</v>
      </c>
      <c r="M38" s="18">
        <f>SUMIF(Detail!$C$4:$C$511,Summary!$B38,Detail!$J$4:$J$511)</f>
        <v>0</v>
      </c>
      <c r="N38" s="18">
        <f>SUMIF(Detail!$C$4:$C$511,Summary!$B38,Detail!$K$4:$K$511)</f>
        <v>133489.67000000001</v>
      </c>
      <c r="O38" s="18">
        <f>SUMIF(Detail!$C$4:$C$511,Summary!$B38,Detail!$L$4:$L$511)</f>
        <v>0</v>
      </c>
      <c r="P38" s="18">
        <f>SUMIF(Detail!$C$4:$C$279, Summary!$B38, Detail!$M$4:$M$279)</f>
        <v>0</v>
      </c>
      <c r="Q38" s="26">
        <f>SUMIF(Detail!$C$4:$C$279, Summary!$B38, Detail!$N$4:$N$279)</f>
        <v>0</v>
      </c>
      <c r="R38" s="83">
        <f t="shared" si="9"/>
        <v>0</v>
      </c>
      <c r="S38" s="83"/>
    </row>
    <row r="39" spans="1:19" s="6" customFormat="1" x14ac:dyDescent="0.25">
      <c r="A39" s="40" t="s">
        <v>18</v>
      </c>
      <c r="B39" s="14" t="s">
        <v>19</v>
      </c>
      <c r="C39" s="78">
        <f>297804+50000+50000+120000</f>
        <v>517804</v>
      </c>
      <c r="D39" s="18">
        <f>SUMIF(Detail!$C$4:$C$511,Summary!$B39,Detail!$F$4:$F$511)</f>
        <v>433816.77</v>
      </c>
      <c r="E39" s="18">
        <f>SUMIF(Detail!$C$4:$C$511,Summary!$B39,Detail!$G$4:$G$511)</f>
        <v>212885.37</v>
      </c>
      <c r="F39" s="45">
        <f t="shared" si="4"/>
        <v>1.248932298707619</v>
      </c>
      <c r="G39" s="75">
        <f t="shared" si="6"/>
        <v>18914.719999999972</v>
      </c>
      <c r="H39" s="18">
        <f>SUMIF(Detail!$C$4:$C$511,Summary!$B39,Detail!$H$4:$H$511)</f>
        <v>433816.77</v>
      </c>
      <c r="I39" s="18">
        <f>SUMIF(Detail!$C$4:$C$511,Summary!$B39,Detail!$I$4:$I$511)</f>
        <v>65072.51</v>
      </c>
      <c r="J39" s="18">
        <f t="shared" si="5"/>
        <v>498889.28</v>
      </c>
      <c r="K39" s="18">
        <f t="shared" si="7"/>
        <v>65072.515500000001</v>
      </c>
      <c r="L39" s="18">
        <f t="shared" si="8"/>
        <v>5.4999999993015081E-3</v>
      </c>
      <c r="M39" s="18">
        <f>SUMIF(Detail!$C$4:$C$511,Summary!$B39,Detail!$J$4:$J$511)</f>
        <v>0</v>
      </c>
      <c r="N39" s="18">
        <f>SUMIF(Detail!$C$4:$C$511,Summary!$B39,Detail!$K$4:$K$511)</f>
        <v>147812.86000000002</v>
      </c>
      <c r="O39" s="18">
        <f>SUMIF(Detail!$C$4:$C$511,Summary!$B39,Detail!$L$4:$L$511)</f>
        <v>0</v>
      </c>
      <c r="P39" s="18">
        <f>SUMIF(Detail!$C$4:$C$279, Summary!$B39, Detail!$M$4:$M$279)</f>
        <v>0</v>
      </c>
      <c r="Q39" s="26">
        <f>SUMIF(Detail!$C$4:$C$279, Summary!$B39, Detail!$N$4:$N$279)</f>
        <v>0</v>
      </c>
      <c r="R39" s="83">
        <f t="shared" si="9"/>
        <v>-2.9103830456733704E-11</v>
      </c>
      <c r="S39" s="83"/>
    </row>
    <row r="40" spans="1:19" x14ac:dyDescent="0.25">
      <c r="A40" s="41" t="s">
        <v>32</v>
      </c>
      <c r="B40" s="14" t="s">
        <v>33</v>
      </c>
      <c r="C40" s="78">
        <f>132465-20000-18000</f>
        <v>94465</v>
      </c>
      <c r="D40" s="18">
        <f>SUMIF(Detail!$C$4:$C$511,Summary!$B40,Detail!$F$4:$F$511)</f>
        <v>61520.209999999992</v>
      </c>
      <c r="E40" s="18">
        <f>SUMIF(Detail!$C$4:$C$511,Summary!$B40,Detail!$G$4:$G$511)</f>
        <v>8064.06</v>
      </c>
      <c r="F40" s="45">
        <f t="shared" si="4"/>
        <v>0.73661430159318253</v>
      </c>
      <c r="G40" s="75">
        <f t="shared" si="6"/>
        <v>25380.73000000001</v>
      </c>
      <c r="H40" s="18">
        <f>SUMIF(Detail!$C$4:$C$511,Summary!$B40,Detail!$H$4:$H$511)</f>
        <v>61020.209999999992</v>
      </c>
      <c r="I40" s="18">
        <f>SUMIF(Detail!$C$4:$C$511,Summary!$B40,Detail!$I$4:$I$511)</f>
        <v>8064.06</v>
      </c>
      <c r="J40" s="18">
        <f t="shared" si="5"/>
        <v>69084.26999999999</v>
      </c>
      <c r="K40" s="18">
        <f t="shared" si="7"/>
        <v>9153.0314999999991</v>
      </c>
      <c r="L40" s="18">
        <f t="shared" si="8"/>
        <v>1088.9714999999987</v>
      </c>
      <c r="M40" s="18">
        <f>SUMIF(Detail!$C$4:$C$511,Summary!$B40,Detail!$J$4:$J$511)</f>
        <v>0</v>
      </c>
      <c r="N40" s="18">
        <f>SUMIF(Detail!$C$4:$C$511,Summary!$B40,Detail!$K$4:$K$511)</f>
        <v>0</v>
      </c>
      <c r="O40" s="18">
        <f>SUMIF(Detail!$C$4:$C$511,Summary!$B40,Detail!$L$4:$L$511)</f>
        <v>0</v>
      </c>
      <c r="P40" s="18">
        <f>SUMIF(Detail!$C$4:$C$279, Summary!$B40, Detail!$M$4:$M$279)</f>
        <v>0</v>
      </c>
      <c r="Q40" s="26">
        <f>SUMIF(Detail!$C$4:$C$279, Summary!$B40, Detail!$N$4:$N$279)</f>
        <v>500</v>
      </c>
      <c r="R40" s="83">
        <f t="shared" si="9"/>
        <v>-2.7284841053187847E-12</v>
      </c>
      <c r="S40" s="83"/>
    </row>
    <row r="41" spans="1:19" s="6" customFormat="1" x14ac:dyDescent="0.25">
      <c r="A41" s="40" t="s">
        <v>16</v>
      </c>
      <c r="B41" s="14" t="s">
        <v>17</v>
      </c>
      <c r="C41" s="78">
        <v>134167</v>
      </c>
      <c r="D41" s="18">
        <f>SUMIF(Detail!$C$4:$C$511,Summary!$B41,Detail!$F$4:$F$511)</f>
        <v>115523.08</v>
      </c>
      <c r="E41" s="18">
        <f>SUMIF(Detail!$C$4:$C$511,Summary!$B41,Detail!$G$4:$G$511)</f>
        <v>18787.510000000002</v>
      </c>
      <c r="F41" s="45">
        <f t="shared" si="4"/>
        <v>1.0010702333658799</v>
      </c>
      <c r="G41" s="75">
        <f t="shared" si="6"/>
        <v>1315.4599999999919</v>
      </c>
      <c r="H41" s="18">
        <f>SUMIF(Detail!$C$4:$C$511,Summary!$B41,Detail!$H$4:$H$511)</f>
        <v>115523.08</v>
      </c>
      <c r="I41" s="18">
        <f>SUMIF(Detail!$C$4:$C$511,Summary!$B41,Detail!$I$4:$I$511)</f>
        <v>17328.46</v>
      </c>
      <c r="J41" s="18">
        <f t="shared" si="5"/>
        <v>132851.54</v>
      </c>
      <c r="K41" s="18">
        <f t="shared" si="7"/>
        <v>17328.462</v>
      </c>
      <c r="L41" s="18">
        <f t="shared" si="8"/>
        <v>2.0000000004074536E-3</v>
      </c>
      <c r="M41" s="18">
        <f>SUMIF(Detail!$C$4:$C$511,Summary!$B41,Detail!$J$4:$J$511)</f>
        <v>0</v>
      </c>
      <c r="N41" s="18">
        <f>SUMIF(Detail!$C$4:$C$511,Summary!$B41,Detail!$K$4:$K$511)</f>
        <v>1459.0500000000002</v>
      </c>
      <c r="O41" s="18">
        <f>SUMIF(Detail!$C$4:$C$511,Summary!$B41,Detail!$L$4:$L$511)</f>
        <v>0</v>
      </c>
      <c r="P41" s="18">
        <f>SUMIF(Detail!$C$4:$C$279, Summary!$B41, Detail!$M$4:$M$279)</f>
        <v>0</v>
      </c>
      <c r="Q41" s="26">
        <f>SUMIF(Detail!$C$4:$C$279, Summary!$B41, Detail!$N$4:$N$279)</f>
        <v>0</v>
      </c>
      <c r="R41" s="83">
        <f t="shared" si="9"/>
        <v>-4.5474735088646412E-12</v>
      </c>
      <c r="S41" s="83"/>
    </row>
    <row r="42" spans="1:19" x14ac:dyDescent="0.25">
      <c r="A42" s="41" t="s">
        <v>58</v>
      </c>
      <c r="B42" s="14" t="s">
        <v>59</v>
      </c>
      <c r="C42" s="78">
        <f>323567-70000</f>
        <v>253567</v>
      </c>
      <c r="D42" s="18">
        <f>SUMIF(Detail!$C$4:$C$511,Summary!$B42,Detail!$F$4:$F$511)</f>
        <v>231929.33000000002</v>
      </c>
      <c r="E42" s="18">
        <f>SUMIF(Detail!$C$4:$C$511,Summary!$B42,Detail!$G$4:$G$511)</f>
        <v>35552.880000000005</v>
      </c>
      <c r="F42" s="45">
        <f t="shared" si="4"/>
        <v>1.0548778429369754</v>
      </c>
      <c r="G42" s="75">
        <f t="shared" si="6"/>
        <v>0</v>
      </c>
      <c r="H42" s="18">
        <f>SUMIF(Detail!$C$4:$C$511,Summary!$B42,Detail!$H$4:$H$511)</f>
        <v>231929.33000000002</v>
      </c>
      <c r="I42" s="18">
        <f>SUMIF(Detail!$C$4:$C$511,Summary!$B42,Detail!$I$4:$I$511)</f>
        <v>21637.67</v>
      </c>
      <c r="J42" s="18">
        <f t="shared" si="5"/>
        <v>253567</v>
      </c>
      <c r="K42" s="18">
        <f t="shared" si="7"/>
        <v>34789.3995</v>
      </c>
      <c r="L42" s="18">
        <f t="shared" si="8"/>
        <v>13151.729500000001</v>
      </c>
      <c r="M42" s="18">
        <f>SUMIF(Detail!$C$4:$C$511,Summary!$B42,Detail!$J$4:$J$511)</f>
        <v>0</v>
      </c>
      <c r="N42" s="18">
        <f>SUMIF(Detail!$C$4:$C$511,Summary!$B42,Detail!$K$4:$K$511)</f>
        <v>13915.210000000003</v>
      </c>
      <c r="O42" s="18">
        <f>SUMIF(Detail!$C$4:$C$511,Summary!$B42,Detail!$L$4:$L$511)</f>
        <v>0</v>
      </c>
      <c r="P42" s="18">
        <f>SUMIF(Detail!$C$4:$C$279, Summary!$B42, Detail!$M$4:$M$279)</f>
        <v>0</v>
      </c>
      <c r="Q42" s="26">
        <f>SUMIF(Detail!$C$4:$C$279, Summary!$B42, Detail!$N$4:$N$279)</f>
        <v>0</v>
      </c>
      <c r="R42" s="83">
        <f t="shared" si="9"/>
        <v>3.637978807091713E-12</v>
      </c>
      <c r="S42" s="83"/>
    </row>
    <row r="43" spans="1:19" x14ac:dyDescent="0.25">
      <c r="A43" s="41" t="s">
        <v>6</v>
      </c>
      <c r="B43" s="14" t="s">
        <v>30</v>
      </c>
      <c r="C43" s="78">
        <f>127422-10000-30000-10000-15000-3500</f>
        <v>58922</v>
      </c>
      <c r="D43" s="18">
        <f>SUMIF(Detail!$C$4:$C$511,Summary!$B43,Detail!$F$4:$F$511)</f>
        <v>51230.46</v>
      </c>
      <c r="E43" s="18">
        <f>SUMIF(Detail!$C$4:$C$511,Summary!$B43,Detail!$G$4:$G$511)</f>
        <v>7691.21</v>
      </c>
      <c r="F43" s="45">
        <f t="shared" si="4"/>
        <v>0.99999439937544543</v>
      </c>
      <c r="G43" s="75">
        <f t="shared" si="6"/>
        <v>6.9800000000032014</v>
      </c>
      <c r="H43" s="18">
        <f>SUMIF(Detail!$C$4:$C$511,Summary!$B43,Detail!$H$4:$H$511)</f>
        <v>51230.46</v>
      </c>
      <c r="I43" s="18">
        <f>SUMIF(Detail!$C$4:$C$511,Summary!$B43,Detail!$I$4:$I$511)</f>
        <v>7684.56</v>
      </c>
      <c r="J43" s="18">
        <f t="shared" si="5"/>
        <v>58915.02</v>
      </c>
      <c r="K43" s="18">
        <f t="shared" si="7"/>
        <v>7684.5689999999995</v>
      </c>
      <c r="L43" s="18">
        <f t="shared" si="8"/>
        <v>8.9999999991050572E-3</v>
      </c>
      <c r="M43" s="18">
        <f>SUMIF(Detail!$C$4:$C$511,Summary!$B43,Detail!$J$4:$J$511)</f>
        <v>0</v>
      </c>
      <c r="N43" s="18">
        <f>SUMIF(Detail!$C$4:$C$511,Summary!$B43,Detail!$K$4:$K$511)</f>
        <v>6.6500000000000909</v>
      </c>
      <c r="O43" s="18">
        <f>SUMIF(Detail!$C$4:$C$511,Summary!$B43,Detail!$L$4:$L$511)</f>
        <v>0</v>
      </c>
      <c r="P43" s="18">
        <f>SUMIF(Detail!$C$4:$C$279, Summary!$B43, Detail!$M$4:$M$279)</f>
        <v>0</v>
      </c>
      <c r="Q43" s="26">
        <f>SUMIF(Detail!$C$4:$C$279, Summary!$B43, Detail!$N$4:$N$279)</f>
        <v>0</v>
      </c>
      <c r="R43" s="83">
        <f t="shared" si="9"/>
        <v>-1.3642420526593924E-12</v>
      </c>
      <c r="S43" s="83"/>
    </row>
    <row r="44" spans="1:19" s="6" customFormat="1" x14ac:dyDescent="0.25">
      <c r="A44" s="40" t="s">
        <v>6</v>
      </c>
      <c r="B44" s="14" t="s">
        <v>28</v>
      </c>
      <c r="C44" s="78">
        <f>72519-5000</f>
        <v>67519</v>
      </c>
      <c r="D44" s="18">
        <f>SUMIF(Detail!$C$4:$C$511,Summary!$B44,Detail!$F$4:$F$511)</f>
        <v>58700.75</v>
      </c>
      <c r="E44" s="18">
        <f>SUMIF(Detail!$C$4:$C$511,Summary!$B44,Detail!$G$4:$G$511)</f>
        <v>8816.43</v>
      </c>
      <c r="F44" s="45">
        <f t="shared" si="4"/>
        <v>0.999973044624476</v>
      </c>
      <c r="G44" s="75">
        <f t="shared" si="6"/>
        <v>13.139999999999418</v>
      </c>
      <c r="H44" s="18">
        <f>SUMIF(Detail!$C$4:$C$511,Summary!$B44,Detail!$H$4:$H$511)</f>
        <v>58700.75</v>
      </c>
      <c r="I44" s="18">
        <f>SUMIF(Detail!$C$4:$C$511,Summary!$B44,Detail!$I$4:$I$511)</f>
        <v>8805.11</v>
      </c>
      <c r="J44" s="18">
        <f t="shared" si="5"/>
        <v>67505.86</v>
      </c>
      <c r="K44" s="18">
        <f t="shared" si="7"/>
        <v>8805.1124999999993</v>
      </c>
      <c r="L44" s="18">
        <f t="shared" si="8"/>
        <v>2.4999999986903276E-3</v>
      </c>
      <c r="M44" s="18">
        <f>SUMIF(Detail!$C$4:$C$511,Summary!$B44,Detail!$J$4:$J$511)</f>
        <v>0</v>
      </c>
      <c r="N44" s="18">
        <f>SUMIF(Detail!$C$4:$C$511,Summary!$B44,Detail!$K$4:$K$511)</f>
        <v>11.320000000000164</v>
      </c>
      <c r="O44" s="18">
        <f>SUMIF(Detail!$C$4:$C$511,Summary!$B44,Detail!$L$4:$L$511)</f>
        <v>0</v>
      </c>
      <c r="P44" s="18">
        <f>SUMIF(Detail!$C$4:$C$279, Summary!$B44, Detail!$M$4:$M$279)</f>
        <v>0</v>
      </c>
      <c r="Q44" s="26">
        <f>SUMIF(Detail!$C$4:$C$279, Summary!$B44, Detail!$N$4:$N$279)</f>
        <v>0</v>
      </c>
      <c r="R44" s="83">
        <f t="shared" si="9"/>
        <v>-7.73070496506989E-12</v>
      </c>
      <c r="S44" s="83"/>
    </row>
    <row r="45" spans="1:19" x14ac:dyDescent="0.25">
      <c r="A45" s="41" t="s">
        <v>6</v>
      </c>
      <c r="B45" s="14" t="s">
        <v>10</v>
      </c>
      <c r="C45" s="78">
        <f>152259-20000-3000</f>
        <v>129259</v>
      </c>
      <c r="D45" s="18">
        <f>SUMIF(Detail!$C$4:$C$511,Summary!$B45,Detail!$F$4:$F$511)</f>
        <v>112341.28</v>
      </c>
      <c r="E45" s="18">
        <f>SUMIF(Detail!$C$4:$C$511,Summary!$B45,Detail!$G$4:$G$511)</f>
        <v>16863.97</v>
      </c>
      <c r="F45" s="45">
        <f t="shared" si="4"/>
        <v>0.99958416822039475</v>
      </c>
      <c r="G45" s="75">
        <f t="shared" si="6"/>
        <v>66.529999999998836</v>
      </c>
      <c r="H45" s="18">
        <f>SUMIF(Detail!$C$4:$C$511,Summary!$B45,Detail!$H$4:$H$511)</f>
        <v>112341.28</v>
      </c>
      <c r="I45" s="18">
        <f>SUMIF(Detail!$C$4:$C$511,Summary!$B45,Detail!$I$4:$I$511)</f>
        <v>16851.190000000002</v>
      </c>
      <c r="J45" s="18">
        <f t="shared" si="5"/>
        <v>129192.47</v>
      </c>
      <c r="K45" s="18">
        <f t="shared" si="7"/>
        <v>16851.191999999999</v>
      </c>
      <c r="L45" s="18">
        <f t="shared" si="8"/>
        <v>1.9999999967694748E-3</v>
      </c>
      <c r="M45" s="18">
        <f>SUMIF(Detail!$C$4:$C$511,Summary!$B45,Detail!$J$4:$J$511)</f>
        <v>0</v>
      </c>
      <c r="N45" s="18">
        <f>SUMIF(Detail!$C$4:$C$511,Summary!$B45,Detail!$K$4:$K$511)</f>
        <v>12.780000000000655</v>
      </c>
      <c r="O45" s="18">
        <f>SUMIF(Detail!$C$4:$C$511,Summary!$B45,Detail!$L$4:$L$511)</f>
        <v>0</v>
      </c>
      <c r="P45" s="18">
        <f>SUMIF(Detail!$C$4:$C$279, Summary!$B45, Detail!$M$4:$M$279)</f>
        <v>0</v>
      </c>
      <c r="Q45" s="26">
        <f>SUMIF(Detail!$C$4:$C$279, Summary!$B45, Detail!$N$4:$N$279)</f>
        <v>0</v>
      </c>
      <c r="R45" s="83">
        <f t="shared" si="9"/>
        <v>-1.8189894035458565E-12</v>
      </c>
      <c r="S45" s="83"/>
    </row>
    <row r="46" spans="1:19" s="6" customFormat="1" ht="14.25" customHeight="1" x14ac:dyDescent="0.25">
      <c r="A46" s="40" t="s">
        <v>82</v>
      </c>
      <c r="B46" s="14" t="s">
        <v>90</v>
      </c>
      <c r="C46" s="78">
        <f>68094-28500</f>
        <v>39594</v>
      </c>
      <c r="D46" s="18">
        <f>SUMIF(Detail!$C$4:$C$511,Summary!$B46,Detail!$F$4:$F$511)</f>
        <v>31571.089999999997</v>
      </c>
      <c r="E46" s="18">
        <f>SUMIF(Detail!$C$4:$C$511,Summary!$B46,Detail!$G$4:$G$511)</f>
        <v>2042.82</v>
      </c>
      <c r="F46" s="45">
        <f t="shared" si="4"/>
        <v>0.84896474213264628</v>
      </c>
      <c r="G46" s="75">
        <f t="shared" si="6"/>
        <v>5980.0900000000038</v>
      </c>
      <c r="H46" s="18">
        <f>SUMIF(Detail!$C$4:$C$511,Summary!$B46,Detail!$H$4:$H$511)</f>
        <v>31571.089999999997</v>
      </c>
      <c r="I46" s="18">
        <f>SUMIF(Detail!$C$4:$C$511,Summary!$B46,Detail!$I$4:$I$511)</f>
        <v>2042.82</v>
      </c>
      <c r="J46" s="18">
        <f t="shared" si="5"/>
        <v>33613.909999999996</v>
      </c>
      <c r="K46" s="18">
        <f t="shared" si="7"/>
        <v>4735.6634999999997</v>
      </c>
      <c r="L46" s="18">
        <f t="shared" si="8"/>
        <v>2692.8434999999999</v>
      </c>
      <c r="M46" s="18">
        <f>SUMIF(Detail!$C$4:$C$511,Summary!$B46,Detail!$J$4:$J$511)</f>
        <v>0</v>
      </c>
      <c r="N46" s="18">
        <f>SUMIF(Detail!$C$4:$C$511,Summary!$B46,Detail!$K$4:$K$511)</f>
        <v>0</v>
      </c>
      <c r="O46" s="18">
        <f>SUMIF(Detail!$C$4:$C$511,Summary!$B46,Detail!$L$4:$L$511)</f>
        <v>0</v>
      </c>
      <c r="P46" s="18">
        <f>SUMIF(Detail!$C$4:$C$279, Summary!$B46, Detail!$M$4:$M$279)</f>
        <v>0</v>
      </c>
      <c r="Q46" s="26">
        <f>SUMIF(Detail!$C$4:$C$279, Summary!$B46, Detail!$N$4:$N$279)</f>
        <v>0</v>
      </c>
      <c r="R46" s="83">
        <f t="shared" si="9"/>
        <v>-2.2737367544323206E-13</v>
      </c>
      <c r="S46" s="83"/>
    </row>
    <row r="47" spans="1:19" s="6" customFormat="1" x14ac:dyDescent="0.25">
      <c r="A47" s="40" t="s">
        <v>74</v>
      </c>
      <c r="B47" s="14" t="s">
        <v>75</v>
      </c>
      <c r="C47" s="78">
        <f>189120-25000</f>
        <v>164120</v>
      </c>
      <c r="D47" s="18">
        <f>SUMIF(Detail!$C$4:$C$511,Summary!$B47,Detail!$F$4:$F$511)</f>
        <v>68398.06</v>
      </c>
      <c r="E47" s="18">
        <f>SUMIF(Detail!$C$4:$C$511,Summary!$B47,Detail!$G$4:$G$511)</f>
        <v>16784.36</v>
      </c>
      <c r="F47" s="45">
        <f t="shared" si="4"/>
        <v>0.51902522544479646</v>
      </c>
      <c r="G47" s="75">
        <f t="shared" si="6"/>
        <v>85462.22</v>
      </c>
      <c r="H47" s="18">
        <f>SUMIF(Detail!$C$4:$C$511,Summary!$B47,Detail!$H$4:$H$511)</f>
        <v>68398.06</v>
      </c>
      <c r="I47" s="18">
        <f>SUMIF(Detail!$C$4:$C$511,Summary!$B47,Detail!$I$4:$I$511)</f>
        <v>10259.720000000001</v>
      </c>
      <c r="J47" s="18">
        <f t="shared" si="5"/>
        <v>78657.78</v>
      </c>
      <c r="K47" s="18">
        <f t="shared" si="7"/>
        <v>10259.708999999999</v>
      </c>
      <c r="L47" s="18">
        <f t="shared" si="8"/>
        <v>-1.1000000002240995E-2</v>
      </c>
      <c r="M47" s="18">
        <f>SUMIF(Detail!$C$4:$C$511,Summary!$B47,Detail!$J$4:$J$511)</f>
        <v>0</v>
      </c>
      <c r="N47" s="18">
        <f>SUMIF(Detail!$C$4:$C$511,Summary!$B47,Detail!$K$4:$K$511)</f>
        <v>6524.6399999999994</v>
      </c>
      <c r="O47" s="18">
        <f>SUMIF(Detail!$C$4:$C$511,Summary!$B47,Detail!$L$4:$L$511)</f>
        <v>0</v>
      </c>
      <c r="P47" s="18">
        <f>SUMIF(Detail!$C$4:$C$279, Summary!$B47, Detail!$M$4:$M$279)</f>
        <v>0</v>
      </c>
      <c r="Q47" s="26">
        <f>SUMIF(Detail!$C$4:$C$279, Summary!$B47, Detail!$N$4:$N$279)</f>
        <v>0</v>
      </c>
      <c r="R47" s="83">
        <f t="shared" si="9"/>
        <v>0</v>
      </c>
      <c r="S47" s="83"/>
    </row>
    <row r="48" spans="1:19" x14ac:dyDescent="0.25">
      <c r="A48" s="41" t="s">
        <v>6</v>
      </c>
      <c r="B48" s="14" t="s">
        <v>11</v>
      </c>
      <c r="C48" s="78">
        <v>616422</v>
      </c>
      <c r="D48" s="18">
        <f>SUMIF(Detail!$C$4:$C$511,Summary!$B48,Detail!$F$4:$F$511)</f>
        <v>534323.32999999996</v>
      </c>
      <c r="E48" s="18">
        <f>SUMIF(Detail!$C$4:$C$511,Summary!$B48,Detail!$G$4:$G$511)</f>
        <v>80158.5</v>
      </c>
      <c r="F48" s="45">
        <f t="shared" si="4"/>
        <v>0.99685252959822968</v>
      </c>
      <c r="G48" s="75">
        <f t="shared" si="6"/>
        <v>1950.1700000000419</v>
      </c>
      <c r="H48" s="18">
        <f>SUMIF(Detail!$C$4:$C$511,Summary!$B48,Detail!$H$4:$H$511)</f>
        <v>534323.32999999996</v>
      </c>
      <c r="I48" s="18">
        <f>SUMIF(Detail!$C$4:$C$511,Summary!$B48,Detail!$I$4:$I$511)</f>
        <v>80148.5</v>
      </c>
      <c r="J48" s="18">
        <f t="shared" si="5"/>
        <v>614471.82999999996</v>
      </c>
      <c r="K48" s="18">
        <f t="shared" si="7"/>
        <v>80148.499499999991</v>
      </c>
      <c r="L48" s="18">
        <f t="shared" si="8"/>
        <v>-5.0000000919681042E-4</v>
      </c>
      <c r="M48" s="18">
        <f>SUMIF(Detail!$C$4:$C$511,Summary!$B48,Detail!$J$4:$J$511)</f>
        <v>0</v>
      </c>
      <c r="N48" s="18">
        <f>SUMIF(Detail!$C$4:$C$511,Summary!$B48,Detail!$K$4:$K$511)</f>
        <v>10</v>
      </c>
      <c r="O48" s="18">
        <f>SUMIF(Detail!$C$4:$C$511,Summary!$B48,Detail!$L$4:$L$511)</f>
        <v>0</v>
      </c>
      <c r="P48" s="18">
        <f>SUMIF(Detail!$C$4:$C$279, Summary!$B48, Detail!$M$4:$M$279)</f>
        <v>0</v>
      </c>
      <c r="Q48" s="26">
        <f>SUMIF(Detail!$C$4:$C$279, Summary!$B48, Detail!$N$4:$N$279)</f>
        <v>0</v>
      </c>
      <c r="R48" s="83">
        <f t="shared" si="9"/>
        <v>0</v>
      </c>
      <c r="S48" s="83"/>
    </row>
    <row r="49" spans="1:19" x14ac:dyDescent="0.25">
      <c r="A49" s="41" t="s">
        <v>83</v>
      </c>
      <c r="B49" s="14" t="s">
        <v>91</v>
      </c>
      <c r="C49" s="78">
        <v>112126</v>
      </c>
      <c r="D49" s="18">
        <f>SUMIF(Detail!$C$4:$C$511,Summary!$B49,Detail!$F$4:$F$511)</f>
        <v>105140.75</v>
      </c>
      <c r="E49" s="18">
        <f>SUMIF(Detail!$C$4:$C$511,Summary!$B49,Detail!$G$4:$G$511)</f>
        <v>6782.24</v>
      </c>
      <c r="F49" s="45">
        <f t="shared" si="4"/>
        <v>0.99818944758575179</v>
      </c>
      <c r="G49" s="75">
        <f t="shared" si="6"/>
        <v>203.00999999999476</v>
      </c>
      <c r="H49" s="18">
        <f>SUMIF(Detail!$C$4:$C$511,Summary!$B49,Detail!$H$4:$H$511)</f>
        <v>105140.75</v>
      </c>
      <c r="I49" s="18">
        <f>SUMIF(Detail!$C$4:$C$511,Summary!$B49,Detail!$I$4:$I$511)</f>
        <v>6782.24</v>
      </c>
      <c r="J49" s="18">
        <f t="shared" si="5"/>
        <v>111922.99</v>
      </c>
      <c r="K49" s="18">
        <f t="shared" si="7"/>
        <v>15771.112499999999</v>
      </c>
      <c r="L49" s="18">
        <f t="shared" si="8"/>
        <v>8988.8724999999995</v>
      </c>
      <c r="M49" s="18">
        <f>SUMIF(Detail!$C$4:$C$511,Summary!$B49,Detail!$J$4:$J$511)</f>
        <v>0</v>
      </c>
      <c r="N49" s="18">
        <f>SUMIF(Detail!$C$4:$C$511,Summary!$B49,Detail!$K$4:$K$511)</f>
        <v>0</v>
      </c>
      <c r="O49" s="18">
        <f>SUMIF(Detail!$C$4:$C$511,Summary!$B49,Detail!$L$4:$L$511)</f>
        <v>0</v>
      </c>
      <c r="P49" s="18">
        <f>SUMIF(Detail!$C$4:$C$279, Summary!$B49, Detail!$M$4:$M$279)</f>
        <v>0</v>
      </c>
      <c r="Q49" s="26">
        <f>SUMIF(Detail!$C$4:$C$279, Summary!$B49, Detail!$N$4:$N$279)</f>
        <v>0</v>
      </c>
      <c r="R49" s="83">
        <f t="shared" si="9"/>
        <v>5.4569682106375694E-12</v>
      </c>
      <c r="S49" s="83"/>
    </row>
    <row r="50" spans="1:19" x14ac:dyDescent="0.25">
      <c r="A50" s="41" t="s">
        <v>39</v>
      </c>
      <c r="B50" s="14" t="s">
        <v>40</v>
      </c>
      <c r="C50" s="78">
        <f>226907-50000-15000</f>
        <v>161907</v>
      </c>
      <c r="D50" s="18">
        <f>SUMIF(Detail!$C$4:$C$511,Summary!$B50,Detail!$F$4:$F$511)</f>
        <v>143437.44</v>
      </c>
      <c r="E50" s="18">
        <f>SUMIF(Detail!$C$4:$C$511,Summary!$B50,Detail!$G$4:$G$511)</f>
        <v>16003.4</v>
      </c>
      <c r="F50" s="45">
        <f t="shared" si="4"/>
        <v>0.98476804585348376</v>
      </c>
      <c r="G50" s="75">
        <f t="shared" si="6"/>
        <v>2466.1600000000035</v>
      </c>
      <c r="H50" s="18">
        <f>SUMIF(Detail!$C$4:$C$511,Summary!$B50,Detail!$H$4:$H$511)</f>
        <v>143437.44</v>
      </c>
      <c r="I50" s="18">
        <f>SUMIF(Detail!$C$4:$C$511,Summary!$B50,Detail!$I$4:$I$511)</f>
        <v>16003.4</v>
      </c>
      <c r="J50" s="18">
        <f t="shared" si="5"/>
        <v>159440.84</v>
      </c>
      <c r="K50" s="18">
        <f t="shared" si="7"/>
        <v>21515.615999999998</v>
      </c>
      <c r="L50" s="18">
        <f t="shared" si="8"/>
        <v>5512.2159999999985</v>
      </c>
      <c r="M50" s="18">
        <f>SUMIF(Detail!$C$4:$C$511,Summary!$B50,Detail!$J$4:$J$511)</f>
        <v>0</v>
      </c>
      <c r="N50" s="18">
        <f>SUMIF(Detail!$C$4:$C$511,Summary!$B50,Detail!$K$4:$K$511)</f>
        <v>0</v>
      </c>
      <c r="O50" s="18">
        <f>SUMIF(Detail!$C$4:$C$511,Summary!$B50,Detail!$L$4:$L$511)</f>
        <v>0</v>
      </c>
      <c r="P50" s="18">
        <f>SUMIF(Detail!$C$4:$C$279, Summary!$B50, Detail!$M$4:$M$279)</f>
        <v>0</v>
      </c>
      <c r="Q50" s="26">
        <f>SUMIF(Detail!$C$4:$C$279, Summary!$B50, Detail!$N$4:$N$279)</f>
        <v>0</v>
      </c>
      <c r="R50" s="83">
        <f t="shared" si="9"/>
        <v>-5.4569682106375694E-12</v>
      </c>
      <c r="S50" s="83"/>
    </row>
    <row r="51" spans="1:19" s="6" customFormat="1" x14ac:dyDescent="0.25">
      <c r="A51" s="40" t="s">
        <v>6</v>
      </c>
      <c r="B51" s="14" t="s">
        <v>31</v>
      </c>
      <c r="C51" s="78">
        <f>52279-10000-15000-1000</f>
        <v>26279</v>
      </c>
      <c r="D51" s="18">
        <f>SUMIF(Detail!$C$4:$C$511,Summary!$B51,Detail!$F$4:$F$511)</f>
        <v>22849.760000000002</v>
      </c>
      <c r="E51" s="18">
        <f>SUMIF(Detail!$C$4:$C$511,Summary!$B51,Detail!$G$4:$G$511)</f>
        <v>3738.11</v>
      </c>
      <c r="F51" s="45">
        <f t="shared" si="4"/>
        <v>1.0117534913809507</v>
      </c>
      <c r="G51" s="75">
        <f t="shared" si="6"/>
        <v>1.7799999999988358</v>
      </c>
      <c r="H51" s="18">
        <f>SUMIF(Detail!$C$4:$C$511,Summary!$B51,Detail!$H$4:$H$511)</f>
        <v>22849.760000000002</v>
      </c>
      <c r="I51" s="18">
        <f>SUMIF(Detail!$C$4:$C$511,Summary!$B51,Detail!$I$4:$I$511)</f>
        <v>3427.46</v>
      </c>
      <c r="J51" s="18">
        <f t="shared" si="5"/>
        <v>26277.22</v>
      </c>
      <c r="K51" s="18">
        <f t="shared" si="7"/>
        <v>3427.4640000000004</v>
      </c>
      <c r="L51" s="18">
        <f t="shared" si="8"/>
        <v>4.0000000003601599E-3</v>
      </c>
      <c r="M51" s="18">
        <f>SUMIF(Detail!$C$4:$C$511,Summary!$B51,Detail!$J$4:$J$511)</f>
        <v>0</v>
      </c>
      <c r="N51" s="18">
        <f>SUMIF(Detail!$C$4:$C$511,Summary!$B51,Detail!$K$4:$K$511)</f>
        <v>310.64999999999986</v>
      </c>
      <c r="O51" s="18">
        <f>SUMIF(Detail!$C$4:$C$511,Summary!$B51,Detail!$L$4:$L$511)</f>
        <v>0</v>
      </c>
      <c r="P51" s="18">
        <f>SUMIF(Detail!$C$4:$C$279, Summary!$B51, Detail!$M$4:$M$279)</f>
        <v>0</v>
      </c>
      <c r="Q51" s="26">
        <f>SUMIF(Detail!$C$4:$C$279, Summary!$B51, Detail!$N$4:$N$279)</f>
        <v>0</v>
      </c>
      <c r="R51" s="83">
        <f t="shared" si="9"/>
        <v>6.8212102632969618E-13</v>
      </c>
      <c r="S51" s="83"/>
    </row>
    <row r="52" spans="1:19" x14ac:dyDescent="0.25">
      <c r="A52" s="41" t="s">
        <v>6</v>
      </c>
      <c r="B52" s="14" t="s">
        <v>24</v>
      </c>
      <c r="C52" s="78">
        <f>63420-12500-2500</f>
        <v>48420</v>
      </c>
      <c r="D52" s="18">
        <f>SUMIF(Detail!$C$4:$C$511,Summary!$B52,Detail!$F$4:$F$511)</f>
        <v>42050.75</v>
      </c>
      <c r="E52" s="18">
        <f>SUMIF(Detail!$C$4:$C$511,Summary!$B52,Detail!$G$4:$G$511)</f>
        <v>6311.6100000000006</v>
      </c>
      <c r="F52" s="45">
        <f t="shared" si="4"/>
        <v>0.99880958281701782</v>
      </c>
      <c r="G52" s="75">
        <f t="shared" si="6"/>
        <v>61.639999999999418</v>
      </c>
      <c r="H52" s="18">
        <f>SUMIF(Detail!$C$4:$C$511,Summary!$B52,Detail!$H$4:$H$511)</f>
        <v>42050.75</v>
      </c>
      <c r="I52" s="18">
        <f>SUMIF(Detail!$C$4:$C$511,Summary!$B52,Detail!$I$4:$I$511)</f>
        <v>6307.6100000000006</v>
      </c>
      <c r="J52" s="18">
        <f t="shared" si="5"/>
        <v>48358.36</v>
      </c>
      <c r="K52" s="18">
        <f t="shared" si="7"/>
        <v>6307.6125000000002</v>
      </c>
      <c r="L52" s="18">
        <f t="shared" si="8"/>
        <v>2.4999999995998223E-3</v>
      </c>
      <c r="M52" s="18">
        <f>SUMIF(Detail!$C$4:$C$511,Summary!$B52,Detail!$J$4:$J$511)</f>
        <v>0</v>
      </c>
      <c r="N52" s="18">
        <f>SUMIF(Detail!$C$4:$C$511,Summary!$B52,Detail!$K$4:$K$511)</f>
        <v>4</v>
      </c>
      <c r="O52" s="18">
        <f>SUMIF(Detail!$C$4:$C$511,Summary!$B52,Detail!$L$4:$L$511)</f>
        <v>0</v>
      </c>
      <c r="P52" s="18">
        <f>SUMIF(Detail!$C$4:$C$279, Summary!$B52, Detail!$M$4:$M$279)</f>
        <v>0</v>
      </c>
      <c r="Q52" s="26">
        <f>SUMIF(Detail!$C$4:$C$279, Summary!$B52, Detail!$N$4:$N$279)</f>
        <v>0</v>
      </c>
      <c r="R52" s="83">
        <f t="shared" si="9"/>
        <v>0</v>
      </c>
      <c r="S52" s="83"/>
    </row>
    <row r="53" spans="1:19" x14ac:dyDescent="0.25">
      <c r="A53" s="41" t="s">
        <v>41</v>
      </c>
      <c r="B53" s="14" t="s">
        <v>42</v>
      </c>
      <c r="C53" s="78">
        <v>199301</v>
      </c>
      <c r="D53" s="18">
        <f>SUMIF(Detail!$C$4:$C$511,Summary!$B53,Detail!$F$4:$F$511)</f>
        <v>87078.989999999991</v>
      </c>
      <c r="E53" s="18">
        <f>SUMIF(Detail!$C$4:$C$511,Summary!$B53,Detail!$G$4:$G$511)</f>
        <v>3825.7300000000005</v>
      </c>
      <c r="F53" s="45">
        <f t="shared" si="4"/>
        <v>0.45611773147149282</v>
      </c>
      <c r="G53" s="75">
        <f t="shared" si="6"/>
        <v>108396.28000000001</v>
      </c>
      <c r="H53" s="18">
        <f>SUMIF(Detail!$C$4:$C$511,Summary!$B53,Detail!$H$4:$H$511)</f>
        <v>87078.989999999991</v>
      </c>
      <c r="I53" s="18">
        <f>SUMIF(Detail!$C$4:$C$511,Summary!$B53,Detail!$I$4:$I$511)</f>
        <v>3825.7300000000005</v>
      </c>
      <c r="J53" s="18">
        <f t="shared" si="5"/>
        <v>90904.719999999987</v>
      </c>
      <c r="K53" s="18">
        <f t="shared" si="7"/>
        <v>13061.848499999998</v>
      </c>
      <c r="L53" s="18">
        <f t="shared" si="8"/>
        <v>9236.1184999999969</v>
      </c>
      <c r="M53" s="18">
        <f>SUMIF(Detail!$C$4:$C$511,Summary!$B53,Detail!$J$4:$J$511)</f>
        <v>0</v>
      </c>
      <c r="N53" s="18">
        <f>SUMIF(Detail!$C$4:$C$511,Summary!$B53,Detail!$K$4:$K$511)</f>
        <v>0</v>
      </c>
      <c r="O53" s="18">
        <f>SUMIF(Detail!$C$4:$C$511,Summary!$B53,Detail!$L$4:$L$511)</f>
        <v>0</v>
      </c>
      <c r="P53" s="18">
        <f>SUMIF(Detail!$C$4:$C$279, Summary!$B53, Detail!$M$4:$M$279)</f>
        <v>0</v>
      </c>
      <c r="Q53" s="26">
        <f>SUMIF(Detail!$C$4:$C$279, Summary!$B53, Detail!$N$4:$N$279)</f>
        <v>0</v>
      </c>
      <c r="R53" s="83">
        <f t="shared" si="9"/>
        <v>-4.5474735088646412E-12</v>
      </c>
      <c r="S53" s="83"/>
    </row>
    <row r="54" spans="1:19" x14ac:dyDescent="0.25">
      <c r="A54" s="41" t="s">
        <v>84</v>
      </c>
      <c r="B54" s="14" t="s">
        <v>92</v>
      </c>
      <c r="C54" s="78">
        <f>172987+60000</f>
        <v>232987</v>
      </c>
      <c r="D54" s="18">
        <f>SUMIF(Detail!$C$4:$C$511,Summary!$B54,Detail!$F$4:$F$511)</f>
        <v>170717.41999999998</v>
      </c>
      <c r="E54" s="18">
        <f>SUMIF(Detail!$C$4:$C$511,Summary!$B54,Detail!$G$4:$G$511)</f>
        <v>12464.81</v>
      </c>
      <c r="F54" s="45">
        <f t="shared" si="4"/>
        <v>0.78623369544223487</v>
      </c>
      <c r="G54" s="75">
        <f t="shared" si="6"/>
        <v>49907.179999999993</v>
      </c>
      <c r="H54" s="18">
        <f>SUMIF(Detail!$C$4:$C$511,Summary!$B54,Detail!$H$4:$H$511)</f>
        <v>170615.01</v>
      </c>
      <c r="I54" s="18">
        <f>SUMIF(Detail!$C$4:$C$511,Summary!$B54,Detail!$I$4:$I$511)</f>
        <v>12464.81</v>
      </c>
      <c r="J54" s="18">
        <f t="shared" si="5"/>
        <v>183079.82</v>
      </c>
      <c r="K54" s="18">
        <f t="shared" si="7"/>
        <v>25592.251500000002</v>
      </c>
      <c r="L54" s="18">
        <f t="shared" si="8"/>
        <v>13127.441500000003</v>
      </c>
      <c r="M54" s="18">
        <f>SUMIF(Detail!$C$4:$C$511,Summary!$B54,Detail!$J$4:$J$511)</f>
        <v>0</v>
      </c>
      <c r="N54" s="18">
        <f>SUMIF(Detail!$C$4:$C$511,Summary!$B54,Detail!$K$4:$K$511)</f>
        <v>0</v>
      </c>
      <c r="O54" s="18">
        <f>SUMIF(Detail!$C$4:$C$511,Summary!$B54,Detail!$L$4:$L$511)</f>
        <v>0</v>
      </c>
      <c r="P54" s="18">
        <f>SUMIF(Detail!$C$4:$C$279, Summary!$B54, Detail!$M$4:$M$279)</f>
        <v>0</v>
      </c>
      <c r="Q54" s="26">
        <f>SUMIF(Detail!$C$4:$C$279, Summary!$B54, Detail!$N$4:$N$279)</f>
        <v>102.41</v>
      </c>
      <c r="R54" s="83">
        <f t="shared" si="9"/>
        <v>-2.7426949600339867E-11</v>
      </c>
      <c r="S54" s="83"/>
    </row>
    <row r="55" spans="1:19" x14ac:dyDescent="0.25">
      <c r="A55" s="41" t="s">
        <v>6</v>
      </c>
      <c r="B55" s="14" t="s">
        <v>29</v>
      </c>
      <c r="C55" s="78">
        <f>89712-12500-1500</f>
        <v>75712</v>
      </c>
      <c r="D55" s="18">
        <f>SUMIF(Detail!$C$4:$C$511,Summary!$B55,Detail!$F$4:$F$511)</f>
        <v>65792.19</v>
      </c>
      <c r="E55" s="18">
        <f>SUMIF(Detail!$C$4:$C$511,Summary!$B55,Detail!$G$4:$G$511)</f>
        <v>9877.869999999999</v>
      </c>
      <c r="F55" s="45">
        <f t="shared" si="4"/>
        <v>0.99944605874894332</v>
      </c>
      <c r="G55" s="66">
        <f t="shared" si="6"/>
        <v>50.970000000001164</v>
      </c>
      <c r="H55" s="18">
        <f>SUMIF(Detail!$C$4:$C$511,Summary!$B55,Detail!$H$4:$H$511)</f>
        <v>65792.19</v>
      </c>
      <c r="I55" s="18">
        <f>SUMIF(Detail!$C$4:$C$511,Summary!$B55,Detail!$I$4:$I$511)</f>
        <v>9868.8399999999983</v>
      </c>
      <c r="J55" s="18">
        <f t="shared" si="5"/>
        <v>75661.03</v>
      </c>
      <c r="K55" s="18">
        <f t="shared" si="7"/>
        <v>9868.8284999999996</v>
      </c>
      <c r="L55" s="18">
        <f t="shared" si="8"/>
        <v>-1.149999999870488E-2</v>
      </c>
      <c r="M55" s="18">
        <f>SUMIF(Detail!$C$4:$C$511,Summary!$B55,Detail!$J$4:$J$511)</f>
        <v>0</v>
      </c>
      <c r="N55" s="18">
        <f>SUMIF(Detail!$C$4:$C$511,Summary!$B55,Detail!$K$4:$K$511)</f>
        <v>9.0300000000002001</v>
      </c>
      <c r="O55" s="18">
        <f>SUMIF(Detail!$C$4:$C$511,Summary!$B55,Detail!$L$4:$L$511)</f>
        <v>0</v>
      </c>
      <c r="P55" s="18">
        <f>SUMIF(Detail!$C$4:$C$279, Summary!$B55, Detail!$M$4:$M$279)</f>
        <v>0</v>
      </c>
      <c r="Q55" s="26">
        <f>SUMIF(Detail!$C$4:$C$279, Summary!$B55, Detail!$N$4:$N$279)</f>
        <v>0</v>
      </c>
      <c r="R55" s="83">
        <f t="shared" si="9"/>
        <v>-3.1832314562052488E-12</v>
      </c>
      <c r="S55" s="83"/>
    </row>
    <row r="56" spans="1:19" ht="15.75" thickBot="1" x14ac:dyDescent="0.3">
      <c r="A56" s="46" t="s">
        <v>85</v>
      </c>
      <c r="B56" s="47" t="s">
        <v>93</v>
      </c>
      <c r="C56" s="78">
        <f>62478-30000-16200</f>
        <v>16278</v>
      </c>
      <c r="D56" s="18">
        <f>SUMIF(Detail!$C$4:$C$511,Summary!$B56,Detail!$F$4:$F$511)</f>
        <v>10054.66</v>
      </c>
      <c r="E56" s="18">
        <f>SUMIF(Detail!$C$4:$C$511,Summary!$B56,Detail!$G$4:$G$511)</f>
        <v>3067.24</v>
      </c>
      <c r="F56" s="45">
        <f t="shared" si="4"/>
        <v>0.80611254453864112</v>
      </c>
      <c r="G56" s="66">
        <f t="shared" si="6"/>
        <v>4715.1399999999994</v>
      </c>
      <c r="H56" s="18">
        <f>SUMIF(Detail!$C$4:$C$511,Summary!$B56,Detail!$H$4:$H$511)</f>
        <v>10054.66</v>
      </c>
      <c r="I56" s="18">
        <f>SUMIF(Detail!$C$4:$C$511,Summary!$B56,Detail!$I$4:$I$511)</f>
        <v>1508.2</v>
      </c>
      <c r="J56" s="18">
        <f t="shared" si="5"/>
        <v>11562.86</v>
      </c>
      <c r="K56" s="18">
        <f t="shared" si="7"/>
        <v>1508.1989999999998</v>
      </c>
      <c r="L56" s="18">
        <f t="shared" si="8"/>
        <v>-1.0000000002037268E-3</v>
      </c>
      <c r="M56" s="18">
        <f>SUMIF(Detail!$C$4:$C$511,Summary!$B56,Detail!$J$4:$J$511)</f>
        <v>0</v>
      </c>
      <c r="N56" s="18">
        <f>SUMIF(Detail!$C$4:$C$511,Summary!$B56,Detail!$K$4:$K$511)</f>
        <v>1559.0399999999997</v>
      </c>
      <c r="O56" s="18">
        <f>SUMIF(Detail!$C$4:$C$511,Summary!$B56,Detail!$L$4:$L$511)</f>
        <v>0</v>
      </c>
      <c r="P56" s="18">
        <f>SUMIF(Detail!$C$4:$C$279, Summary!$B56, Detail!$M$4:$M$279)</f>
        <v>0</v>
      </c>
      <c r="Q56" s="26">
        <f>SUMIF(Detail!$C$4:$C$279, Summary!$B56, Detail!$N$4:$N$279)</f>
        <v>0</v>
      </c>
      <c r="R56" s="83">
        <f t="shared" si="9"/>
        <v>0</v>
      </c>
      <c r="S56" s="83"/>
    </row>
    <row r="57" spans="1:19" ht="16.5" thickTop="1" thickBot="1" x14ac:dyDescent="0.3">
      <c r="A57" s="122" t="s">
        <v>102</v>
      </c>
      <c r="B57" s="123"/>
      <c r="C57" s="48">
        <f>SUM($C4:$C56)</f>
        <v>9323250</v>
      </c>
      <c r="D57" s="48">
        <f>SUM($D4:$D56)</f>
        <v>7316412.040000001</v>
      </c>
      <c r="E57" s="48">
        <f>SUM($E4:$E56)</f>
        <v>1407588.8200000003</v>
      </c>
      <c r="F57" s="49">
        <f>(SUM($D57:$E57)/$C57)</f>
        <v>0.93572529536374127</v>
      </c>
      <c r="G57" s="48">
        <f t="shared" si="6"/>
        <v>1090965.8399999989</v>
      </c>
      <c r="H57" s="48">
        <f>SUM($H4:$H56)</f>
        <v>7250674.4700000007</v>
      </c>
      <c r="I57" s="48">
        <f>SUM($I4:$I56)</f>
        <v>981609.69000000018</v>
      </c>
      <c r="J57" s="48">
        <f t="shared" si="5"/>
        <v>8232284.1600000011</v>
      </c>
      <c r="K57" s="48"/>
      <c r="L57" s="48"/>
      <c r="M57" s="48">
        <f>SUM(M4:M56)</f>
        <v>0</v>
      </c>
      <c r="N57" s="48">
        <f>SUM(N4:N56)</f>
        <v>425506.13000000012</v>
      </c>
      <c r="O57" s="48">
        <f>SUM($O4:$O56)</f>
        <v>65333.16</v>
      </c>
      <c r="P57" s="48">
        <f>SUM($P4:$P56)</f>
        <v>0</v>
      </c>
      <c r="Q57" s="50">
        <f>SUM($Q4:$Q56)</f>
        <v>877.41</v>
      </c>
      <c r="S57" s="83"/>
    </row>
    <row r="58" spans="1:19" x14ac:dyDescent="0.25">
      <c r="A58" s="41" t="s">
        <v>6</v>
      </c>
      <c r="B58" s="14" t="s">
        <v>101</v>
      </c>
      <c r="C58" s="86">
        <v>500000</v>
      </c>
      <c r="D58" s="18">
        <f>SUMIF(Detail!$C$4:$C$511,Summary!$B58,Detail!$F$4:$F$511)</f>
        <v>500000</v>
      </c>
      <c r="E58" s="18">
        <f>SUMIF(Detail!$C$4:$C$511,Summary!$B58,Detail!$G$4:$G$511)</f>
        <v>0</v>
      </c>
      <c r="F58" s="45">
        <f t="shared" si="4"/>
        <v>1</v>
      </c>
      <c r="G58" s="66">
        <f t="shared" si="6"/>
        <v>0</v>
      </c>
      <c r="H58" s="18">
        <f>SUMIF(Detail!$C$4:$C$511,Summary!$B58,Detail!$H$4:$H$511)</f>
        <v>500000</v>
      </c>
      <c r="I58" s="18">
        <f>SUMIF(Detail!$C$4:$C$511,Summary!$B58,Detail!$I$4:$I$511)</f>
        <v>0</v>
      </c>
      <c r="J58" s="18">
        <f t="shared" si="5"/>
        <v>500000</v>
      </c>
      <c r="K58" s="18"/>
      <c r="L58" s="18"/>
      <c r="M58" s="18"/>
      <c r="N58" s="18">
        <f>SUMIF(Detail!$C$4:$C$511,Summary!$B58,Detail!$K$4:$K$511)</f>
        <v>0</v>
      </c>
      <c r="O58" s="18">
        <f>SUMIF(Detail!$C$4:$C$511,Summary!$B58,Detail!$L$4:$L$511)</f>
        <v>0</v>
      </c>
      <c r="P58" s="18">
        <f>SUMIF(Detail!$C$4:$C$279, Summary!$B58, Detail!$M$4:$M$279)</f>
        <v>0</v>
      </c>
      <c r="Q58" s="26">
        <f>SUMIF(Detail!$C$4:$C$279, Summary!$B58, Detail!$N$4:$N$279)</f>
        <v>0</v>
      </c>
      <c r="S58" s="83"/>
    </row>
    <row r="59" spans="1:19" s="85" customFormat="1" x14ac:dyDescent="0.25">
      <c r="A59" s="41" t="s">
        <v>146</v>
      </c>
      <c r="B59" s="14" t="s">
        <v>148</v>
      </c>
      <c r="C59" s="86">
        <v>176750</v>
      </c>
      <c r="D59" s="18"/>
      <c r="E59" s="18"/>
      <c r="F59" s="45"/>
      <c r="G59" s="66"/>
      <c r="H59" s="18"/>
      <c r="I59" s="18"/>
      <c r="J59" s="18"/>
      <c r="K59" s="18"/>
      <c r="L59" s="18"/>
      <c r="M59" s="18"/>
      <c r="N59" s="18"/>
      <c r="O59" s="18"/>
      <c r="P59" s="18"/>
      <c r="Q59" s="26"/>
      <c r="S59" s="83"/>
    </row>
    <row r="60" spans="1:19" ht="15.75" thickBot="1" x14ac:dyDescent="0.3">
      <c r="A60" s="120" t="s">
        <v>110</v>
      </c>
      <c r="B60" s="121"/>
      <c r="C60" s="36">
        <f>SUM($C57:$C59)</f>
        <v>10000000</v>
      </c>
      <c r="D60" s="36">
        <f>SUM($D57:$D58)</f>
        <v>7816412.040000001</v>
      </c>
      <c r="E60" s="36">
        <f>SUM($E57:$E58)</f>
        <v>1407588.8200000003</v>
      </c>
      <c r="F60" s="42">
        <f>(SUM($D60:$E60)/$C60)</f>
        <v>0.92240008600000012</v>
      </c>
      <c r="G60" s="36">
        <f>SUM(C60-J60)</f>
        <v>1267715.8399999999</v>
      </c>
      <c r="H60" s="36">
        <f>SUM($H57:$H58)</f>
        <v>7750674.4700000007</v>
      </c>
      <c r="I60" s="36">
        <f>SUM($I57:$I58)</f>
        <v>981609.69000000018</v>
      </c>
      <c r="J60" s="36">
        <f t="shared" si="5"/>
        <v>8732284.1600000001</v>
      </c>
      <c r="K60" s="36"/>
      <c r="L60" s="36"/>
      <c r="M60" s="36">
        <f>SUM(M57:M58)</f>
        <v>0</v>
      </c>
      <c r="N60" s="36">
        <f>SUM(N57:N58)</f>
        <v>425506.13000000012</v>
      </c>
      <c r="O60" s="36">
        <f>SUM($O57:$O58)</f>
        <v>65333.16</v>
      </c>
      <c r="P60" s="36">
        <f>SUM($P57:$P58)</f>
        <v>0</v>
      </c>
      <c r="Q60" s="37">
        <f>SUM($Q57:$Q58)</f>
        <v>877.41</v>
      </c>
    </row>
    <row r="61" spans="1:19" ht="3.95" customHeight="1" thickTop="1" x14ac:dyDescent="0.25">
      <c r="A61" s="72"/>
      <c r="B61" s="73"/>
      <c r="C61" s="69"/>
      <c r="D61" s="69"/>
      <c r="E61" s="69"/>
      <c r="F61" s="74"/>
      <c r="G61" s="74"/>
      <c r="H61" s="69"/>
      <c r="I61" s="69"/>
      <c r="J61" s="69"/>
      <c r="K61" s="69"/>
      <c r="L61" s="69"/>
      <c r="M61" s="69"/>
      <c r="N61" s="69"/>
      <c r="O61" s="69"/>
      <c r="P61" s="69"/>
      <c r="Q61" s="71"/>
    </row>
    <row r="62" spans="1:19" ht="3.95" customHeight="1" x14ac:dyDescent="0.25">
      <c r="A62" s="67"/>
      <c r="B62" s="73"/>
      <c r="C62" s="69"/>
      <c r="D62" s="69"/>
      <c r="E62" s="69"/>
      <c r="F62" s="74"/>
      <c r="G62" s="74"/>
      <c r="H62" s="69"/>
      <c r="I62" s="69"/>
      <c r="J62" s="69"/>
      <c r="K62" s="69"/>
      <c r="L62" s="69"/>
      <c r="M62" s="69"/>
      <c r="N62" s="69"/>
      <c r="O62" s="69"/>
      <c r="P62" s="69"/>
      <c r="Q62" s="71"/>
    </row>
    <row r="63" spans="1:19" ht="3.95" customHeight="1" x14ac:dyDescent="0.25">
      <c r="A63" s="67"/>
      <c r="B63" s="73"/>
      <c r="C63" s="69"/>
      <c r="D63" s="69"/>
      <c r="E63" s="69"/>
      <c r="F63" s="74"/>
      <c r="G63" s="74"/>
      <c r="H63" s="69"/>
      <c r="I63" s="69"/>
      <c r="J63" s="69"/>
      <c r="K63" s="69"/>
      <c r="L63" s="69"/>
      <c r="M63" s="69"/>
      <c r="N63" s="69"/>
      <c r="O63" s="69"/>
      <c r="P63" s="69"/>
      <c r="Q63" s="71"/>
    </row>
    <row r="64" spans="1:19" ht="3.95" customHeight="1" x14ac:dyDescent="0.25">
      <c r="A64" s="67"/>
      <c r="B64" s="73"/>
      <c r="C64" s="69"/>
      <c r="D64" s="69"/>
      <c r="E64" s="69"/>
      <c r="F64" s="74"/>
      <c r="G64" s="74"/>
      <c r="H64" s="69"/>
      <c r="I64" s="69"/>
      <c r="J64" s="69"/>
      <c r="K64" s="69"/>
      <c r="L64" s="69"/>
      <c r="M64" s="69"/>
      <c r="N64" s="69"/>
      <c r="O64" s="69"/>
      <c r="P64" s="69"/>
      <c r="Q64" s="71"/>
    </row>
    <row r="65" spans="1:17" ht="3.95" customHeight="1" x14ac:dyDescent="0.25">
      <c r="A65" s="67"/>
      <c r="B65" s="73"/>
      <c r="C65" s="69"/>
      <c r="D65" s="69"/>
      <c r="E65" s="69"/>
      <c r="F65" s="74"/>
      <c r="G65" s="74"/>
      <c r="H65" s="69"/>
      <c r="I65" s="69"/>
      <c r="J65" s="69"/>
      <c r="K65" s="69"/>
      <c r="L65" s="69"/>
      <c r="M65" s="69"/>
      <c r="N65" s="69"/>
      <c r="O65" s="69"/>
      <c r="P65" s="69"/>
      <c r="Q65" s="71"/>
    </row>
  </sheetData>
  <mergeCells count="14">
    <mergeCell ref="A1:Q1"/>
    <mergeCell ref="P2:P3"/>
    <mergeCell ref="A60:B60"/>
    <mergeCell ref="A57:B57"/>
    <mergeCell ref="Q2:Q3"/>
    <mergeCell ref="D2:E2"/>
    <mergeCell ref="B2:B3"/>
    <mergeCell ref="C2:C3"/>
    <mergeCell ref="A2:A3"/>
    <mergeCell ref="F2:F3"/>
    <mergeCell ref="H2:J2"/>
    <mergeCell ref="G2:G3"/>
    <mergeCell ref="N2:O2"/>
    <mergeCell ref="K2:L2"/>
  </mergeCells>
  <printOptions gridLines="1"/>
  <pageMargins left="0.7" right="0.7" top="0.75" bottom="0.75" header="0.3" footer="0.3"/>
  <pageSetup scale="4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97"/>
  <sheetViews>
    <sheetView zoomScaleNormal="100" workbookViewId="0">
      <pane ySplit="3" topLeftCell="A4" activePane="bottomLeft" state="frozen"/>
      <selection activeCell="B1" sqref="B1"/>
      <selection pane="bottomLeft" activeCell="B15" sqref="B15"/>
    </sheetView>
  </sheetViews>
  <sheetFormatPr defaultRowHeight="15" x14ac:dyDescent="0.25"/>
  <cols>
    <col min="1" max="1" width="9.140625" style="24" customWidth="1"/>
    <col min="2" max="2" width="77.42578125" style="6" customWidth="1"/>
    <col min="3" max="3" width="5.5703125" style="24" customWidth="1"/>
    <col min="4" max="4" width="16.28515625" style="7" bestFit="1" customWidth="1"/>
    <col min="5" max="5" width="13.85546875" style="11" bestFit="1" customWidth="1"/>
    <col min="6" max="6" width="19.7109375" style="7" bestFit="1" customWidth="1"/>
    <col min="7" max="7" width="14.42578125" style="7" customWidth="1"/>
    <col min="8" max="8" width="18.7109375" style="7" bestFit="1" customWidth="1"/>
    <col min="9" max="9" width="13.5703125" style="7" customWidth="1"/>
    <col min="10" max="10" width="18.5703125" style="7" bestFit="1" customWidth="1"/>
    <col min="11" max="11" width="17.85546875" style="7" customWidth="1"/>
    <col min="12" max="12" width="14.5703125" style="7" customWidth="1"/>
    <col min="13" max="13" width="14.28515625" style="7" bestFit="1" customWidth="1"/>
    <col min="14" max="14" width="12.5703125" style="8" bestFit="1" customWidth="1"/>
    <col min="15" max="15" width="13.42578125" style="6" bestFit="1" customWidth="1"/>
    <col min="16" max="16384" width="9.140625" style="6"/>
  </cols>
  <sheetData>
    <row r="1" spans="1:15" ht="15.75" thickTop="1" x14ac:dyDescent="0.25">
      <c r="A1" s="141" t="s">
        <v>156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5" ht="15" customHeight="1" x14ac:dyDescent="0.25">
      <c r="A2" s="64"/>
      <c r="B2" s="56"/>
      <c r="C2" s="58"/>
      <c r="D2" s="60"/>
      <c r="E2" s="62"/>
      <c r="F2" s="149" t="s">
        <v>3</v>
      </c>
      <c r="G2" s="149"/>
      <c r="H2" s="144" t="s">
        <v>5</v>
      </c>
      <c r="I2" s="144"/>
      <c r="J2" s="76" t="s">
        <v>94</v>
      </c>
      <c r="K2" s="144" t="s">
        <v>99</v>
      </c>
      <c r="L2" s="144"/>
      <c r="M2" s="52"/>
      <c r="N2" s="54"/>
    </row>
    <row r="3" spans="1:15" ht="45.75" thickBot="1" x14ac:dyDescent="0.3">
      <c r="A3" s="65" t="s">
        <v>106</v>
      </c>
      <c r="B3" s="57" t="s">
        <v>1</v>
      </c>
      <c r="C3" s="59" t="s">
        <v>0</v>
      </c>
      <c r="D3" s="61" t="s">
        <v>103</v>
      </c>
      <c r="E3" s="63" t="s">
        <v>107</v>
      </c>
      <c r="F3" s="38" t="s">
        <v>4</v>
      </c>
      <c r="G3" s="39" t="s">
        <v>97</v>
      </c>
      <c r="H3" s="39" t="s">
        <v>4</v>
      </c>
      <c r="I3" s="39" t="s">
        <v>98</v>
      </c>
      <c r="J3" s="39" t="s">
        <v>112</v>
      </c>
      <c r="K3" s="39" t="s">
        <v>113</v>
      </c>
      <c r="L3" s="39" t="s">
        <v>114</v>
      </c>
      <c r="M3" s="53" t="s">
        <v>100</v>
      </c>
      <c r="N3" s="55" t="s">
        <v>96</v>
      </c>
    </row>
    <row r="4" spans="1:15" ht="15.75" thickTop="1" x14ac:dyDescent="0.25">
      <c r="A4" s="27"/>
      <c r="B4" s="79" t="s">
        <v>76</v>
      </c>
      <c r="C4" s="23" t="s">
        <v>77</v>
      </c>
      <c r="D4" s="19" t="s">
        <v>104</v>
      </c>
      <c r="E4" s="19">
        <v>41870</v>
      </c>
      <c r="F4" s="78">
        <v>2312.0100000000002</v>
      </c>
      <c r="G4" s="78">
        <v>897</v>
      </c>
      <c r="H4" s="86">
        <v>2312.0100000000002</v>
      </c>
      <c r="I4" s="86">
        <v>897</v>
      </c>
      <c r="J4" s="4"/>
      <c r="K4" s="86">
        <f t="shared" ref="K4:K35" si="0">G4-I4</f>
        <v>0</v>
      </c>
      <c r="L4" s="18"/>
      <c r="M4" s="18"/>
      <c r="N4" s="26"/>
      <c r="O4" s="83">
        <f t="shared" ref="O4:O35" si="1">(F4+G4)-H4-I4-J4-K4-L4-M4-N4</f>
        <v>0</v>
      </c>
    </row>
    <row r="5" spans="1:15" x14ac:dyDescent="0.25">
      <c r="A5" s="27"/>
      <c r="B5" s="79" t="s">
        <v>83</v>
      </c>
      <c r="C5" s="23" t="s">
        <v>91</v>
      </c>
      <c r="D5" s="19" t="s">
        <v>104</v>
      </c>
      <c r="E5" s="19">
        <v>41871</v>
      </c>
      <c r="F5" s="86">
        <v>1191.29</v>
      </c>
      <c r="G5" s="86">
        <v>0</v>
      </c>
      <c r="H5" s="86">
        <v>1191.29</v>
      </c>
      <c r="I5" s="86">
        <v>0</v>
      </c>
      <c r="J5" s="86"/>
      <c r="K5" s="86">
        <f t="shared" si="0"/>
        <v>0</v>
      </c>
      <c r="L5" s="18"/>
      <c r="M5" s="18"/>
      <c r="N5" s="26"/>
      <c r="O5" s="83">
        <f t="shared" si="1"/>
        <v>0</v>
      </c>
    </row>
    <row r="6" spans="1:15" x14ac:dyDescent="0.25">
      <c r="A6" s="27"/>
      <c r="B6" s="79" t="s">
        <v>47</v>
      </c>
      <c r="C6" s="23" t="s">
        <v>48</v>
      </c>
      <c r="D6" s="19" t="s">
        <v>104</v>
      </c>
      <c r="E6" s="19">
        <v>41873</v>
      </c>
      <c r="F6" s="86">
        <v>981.15</v>
      </c>
      <c r="G6" s="86">
        <v>351.75</v>
      </c>
      <c r="H6" s="86">
        <v>981.15</v>
      </c>
      <c r="I6" s="86">
        <v>351.75</v>
      </c>
      <c r="J6" s="86"/>
      <c r="K6" s="86">
        <f t="shared" si="0"/>
        <v>0</v>
      </c>
      <c r="L6" s="18"/>
      <c r="M6" s="18"/>
      <c r="N6" s="26"/>
      <c r="O6" s="83">
        <f t="shared" si="1"/>
        <v>1.1368683772161603E-13</v>
      </c>
    </row>
    <row r="7" spans="1:15" x14ac:dyDescent="0.25">
      <c r="A7" s="27"/>
      <c r="B7" s="79" t="s">
        <v>81</v>
      </c>
      <c r="C7" s="23" t="s">
        <v>89</v>
      </c>
      <c r="D7" s="19" t="s">
        <v>104</v>
      </c>
      <c r="E7" s="19">
        <v>41880</v>
      </c>
      <c r="F7" s="86">
        <v>3517.59</v>
      </c>
      <c r="G7" s="86">
        <v>0</v>
      </c>
      <c r="H7" s="86">
        <v>3517.59</v>
      </c>
      <c r="I7" s="86">
        <v>0</v>
      </c>
      <c r="J7" s="86"/>
      <c r="K7" s="86">
        <f t="shared" si="0"/>
        <v>0</v>
      </c>
      <c r="L7" s="18"/>
      <c r="M7" s="18"/>
      <c r="N7" s="26"/>
      <c r="O7" s="83">
        <f t="shared" si="1"/>
        <v>0</v>
      </c>
    </row>
    <row r="8" spans="1:15" x14ac:dyDescent="0.25">
      <c r="A8" s="27"/>
      <c r="B8" s="79" t="s">
        <v>79</v>
      </c>
      <c r="C8" s="23" t="s">
        <v>87</v>
      </c>
      <c r="D8" s="19" t="s">
        <v>104</v>
      </c>
      <c r="E8" s="19">
        <v>41880</v>
      </c>
      <c r="F8" s="86">
        <v>11362.88</v>
      </c>
      <c r="G8" s="86">
        <v>3982.88</v>
      </c>
      <c r="H8" s="86">
        <v>11362.88</v>
      </c>
      <c r="I8" s="86">
        <v>1704.43</v>
      </c>
      <c r="J8" s="86"/>
      <c r="K8" s="86">
        <f t="shared" si="0"/>
        <v>2278.4499999999998</v>
      </c>
      <c r="L8" s="18"/>
      <c r="M8" s="18"/>
      <c r="N8" s="26"/>
      <c r="O8" s="83">
        <f t="shared" si="1"/>
        <v>-9.0949470177292824E-13</v>
      </c>
    </row>
    <row r="9" spans="1:15" x14ac:dyDescent="0.25">
      <c r="A9" s="27"/>
      <c r="B9" s="79" t="s">
        <v>49</v>
      </c>
      <c r="C9" s="23" t="s">
        <v>50</v>
      </c>
      <c r="D9" s="19" t="s">
        <v>104</v>
      </c>
      <c r="E9" s="19">
        <v>41880</v>
      </c>
      <c r="F9" s="86">
        <v>11610.26</v>
      </c>
      <c r="G9" s="86">
        <v>864.54</v>
      </c>
      <c r="H9" s="86">
        <v>11610.26</v>
      </c>
      <c r="I9" s="86">
        <v>864.54</v>
      </c>
      <c r="J9" s="86"/>
      <c r="K9" s="86">
        <f t="shared" si="0"/>
        <v>0</v>
      </c>
      <c r="L9" s="18"/>
      <c r="M9" s="18"/>
      <c r="N9" s="26"/>
      <c r="O9" s="83">
        <f t="shared" si="1"/>
        <v>-9.0949470177292824E-13</v>
      </c>
    </row>
    <row r="10" spans="1:15" x14ac:dyDescent="0.25">
      <c r="A10" s="27"/>
      <c r="B10" s="79" t="s">
        <v>12</v>
      </c>
      <c r="C10" s="23" t="s">
        <v>13</v>
      </c>
      <c r="D10" s="19" t="s">
        <v>104</v>
      </c>
      <c r="E10" s="19">
        <v>41873</v>
      </c>
      <c r="F10" s="86">
        <v>5798.92</v>
      </c>
      <c r="G10" s="86">
        <v>7749.99</v>
      </c>
      <c r="H10" s="86">
        <v>5798.92</v>
      </c>
      <c r="I10" s="86">
        <v>7749.99</v>
      </c>
      <c r="J10" s="86"/>
      <c r="K10" s="86">
        <f t="shared" si="0"/>
        <v>0</v>
      </c>
      <c r="L10" s="18"/>
      <c r="M10" s="18"/>
      <c r="N10" s="26"/>
      <c r="O10" s="83">
        <f t="shared" si="1"/>
        <v>0</v>
      </c>
    </row>
    <row r="11" spans="1:15" x14ac:dyDescent="0.25">
      <c r="A11" s="27"/>
      <c r="B11" s="79" t="s">
        <v>80</v>
      </c>
      <c r="C11" s="23" t="s">
        <v>88</v>
      </c>
      <c r="D11" s="19" t="s">
        <v>104</v>
      </c>
      <c r="E11" s="19">
        <v>41885</v>
      </c>
      <c r="F11" s="86">
        <v>3896.46</v>
      </c>
      <c r="G11" s="86">
        <v>974</v>
      </c>
      <c r="H11" s="86">
        <v>3896.46</v>
      </c>
      <c r="I11" s="86">
        <v>974</v>
      </c>
      <c r="J11" s="86"/>
      <c r="K11" s="86">
        <f t="shared" si="0"/>
        <v>0</v>
      </c>
      <c r="L11" s="18"/>
      <c r="M11" s="18"/>
      <c r="N11" s="26"/>
      <c r="O11" s="83">
        <f t="shared" si="1"/>
        <v>0</v>
      </c>
    </row>
    <row r="12" spans="1:15" x14ac:dyDescent="0.25">
      <c r="A12" s="27"/>
      <c r="B12" s="79" t="s">
        <v>18</v>
      </c>
      <c r="C12" s="23" t="s">
        <v>19</v>
      </c>
      <c r="D12" s="19" t="s">
        <v>104</v>
      </c>
      <c r="E12" s="19">
        <v>41885</v>
      </c>
      <c r="F12" s="86">
        <v>22296.93</v>
      </c>
      <c r="G12" s="86">
        <v>21735</v>
      </c>
      <c r="H12" s="86">
        <v>22296.93</v>
      </c>
      <c r="I12" s="86">
        <v>3344.54</v>
      </c>
      <c r="J12" s="86"/>
      <c r="K12" s="86">
        <f t="shared" si="0"/>
        <v>18390.46</v>
      </c>
      <c r="L12" s="18"/>
      <c r="M12" s="18"/>
      <c r="N12" s="26"/>
      <c r="O12" s="83">
        <f t="shared" si="1"/>
        <v>0</v>
      </c>
    </row>
    <row r="13" spans="1:15" x14ac:dyDescent="0.25">
      <c r="A13" s="27"/>
      <c r="B13" s="79" t="s">
        <v>47</v>
      </c>
      <c r="C13" s="23" t="s">
        <v>48</v>
      </c>
      <c r="D13" s="19" t="s">
        <v>105</v>
      </c>
      <c r="E13" s="19">
        <v>41886</v>
      </c>
      <c r="F13" s="86">
        <v>1094.57</v>
      </c>
      <c r="G13" s="86">
        <v>369.5</v>
      </c>
      <c r="H13" s="86">
        <v>1094.57</v>
      </c>
      <c r="I13" s="86">
        <v>369.5</v>
      </c>
      <c r="J13" s="86"/>
      <c r="K13" s="86">
        <f t="shared" si="0"/>
        <v>0</v>
      </c>
      <c r="L13" s="18"/>
      <c r="M13" s="18"/>
      <c r="N13" s="26"/>
      <c r="O13" s="83">
        <f t="shared" si="1"/>
        <v>0</v>
      </c>
    </row>
    <row r="14" spans="1:15" x14ac:dyDescent="0.25">
      <c r="A14" s="27"/>
      <c r="B14" s="79" t="s">
        <v>12</v>
      </c>
      <c r="C14" s="23" t="s">
        <v>13</v>
      </c>
      <c r="D14" s="19" t="s">
        <v>105</v>
      </c>
      <c r="E14" s="19">
        <v>41890</v>
      </c>
      <c r="F14" s="86">
        <v>49699.88</v>
      </c>
      <c r="G14" s="86">
        <v>7604.4</v>
      </c>
      <c r="H14" s="86">
        <v>49699.88</v>
      </c>
      <c r="I14" s="86">
        <v>7604.4</v>
      </c>
      <c r="J14" s="86"/>
      <c r="K14" s="86">
        <f t="shared" si="0"/>
        <v>0</v>
      </c>
      <c r="L14" s="18"/>
      <c r="M14" s="18"/>
      <c r="N14" s="26"/>
      <c r="O14" s="83">
        <f t="shared" si="1"/>
        <v>1.8189894035458565E-12</v>
      </c>
    </row>
    <row r="15" spans="1:15" x14ac:dyDescent="0.25">
      <c r="A15" s="27"/>
      <c r="B15" s="79" t="s">
        <v>81</v>
      </c>
      <c r="C15" s="23" t="s">
        <v>89</v>
      </c>
      <c r="D15" s="19" t="s">
        <v>105</v>
      </c>
      <c r="E15" s="19">
        <v>41892</v>
      </c>
      <c r="F15" s="86">
        <v>58922.77</v>
      </c>
      <c r="G15" s="86">
        <v>0</v>
      </c>
      <c r="H15" s="86">
        <v>58922.77</v>
      </c>
      <c r="I15" s="86">
        <v>0</v>
      </c>
      <c r="J15" s="86"/>
      <c r="K15" s="86">
        <f t="shared" si="0"/>
        <v>0</v>
      </c>
      <c r="L15" s="18"/>
      <c r="M15" s="18"/>
      <c r="N15" s="26"/>
      <c r="O15" s="83">
        <f t="shared" si="1"/>
        <v>0</v>
      </c>
    </row>
    <row r="16" spans="1:15" x14ac:dyDescent="0.25">
      <c r="A16" s="27"/>
      <c r="B16" s="79" t="s">
        <v>76</v>
      </c>
      <c r="C16" s="23" t="s">
        <v>77</v>
      </c>
      <c r="D16" s="19" t="s">
        <v>105</v>
      </c>
      <c r="E16" s="19">
        <v>41899</v>
      </c>
      <c r="F16" s="86">
        <v>1714.02</v>
      </c>
      <c r="G16" s="86">
        <v>370.5</v>
      </c>
      <c r="H16" s="86">
        <v>1714.02</v>
      </c>
      <c r="I16" s="86">
        <v>370.5</v>
      </c>
      <c r="J16" s="86"/>
      <c r="K16" s="86">
        <f t="shared" si="0"/>
        <v>0</v>
      </c>
      <c r="L16" s="18"/>
      <c r="M16" s="18"/>
      <c r="N16" s="26"/>
      <c r="O16" s="83">
        <f t="shared" si="1"/>
        <v>0</v>
      </c>
    </row>
    <row r="17" spans="1:15" x14ac:dyDescent="0.25">
      <c r="A17" s="27"/>
      <c r="B17" s="79" t="s">
        <v>83</v>
      </c>
      <c r="C17" s="23" t="s">
        <v>91</v>
      </c>
      <c r="D17" s="19" t="s">
        <v>105</v>
      </c>
      <c r="E17" s="19">
        <v>41911</v>
      </c>
      <c r="F17" s="86">
        <v>940</v>
      </c>
      <c r="G17" s="86">
        <v>0</v>
      </c>
      <c r="H17" s="86">
        <v>940</v>
      </c>
      <c r="I17" s="86">
        <v>0</v>
      </c>
      <c r="J17" s="86"/>
      <c r="K17" s="86">
        <f t="shared" si="0"/>
        <v>0</v>
      </c>
      <c r="L17" s="18"/>
      <c r="M17" s="18"/>
      <c r="N17" s="26"/>
      <c r="O17" s="83">
        <f t="shared" si="1"/>
        <v>0</v>
      </c>
    </row>
    <row r="18" spans="1:15" x14ac:dyDescent="0.25">
      <c r="A18" s="27"/>
      <c r="B18" s="79" t="s">
        <v>49</v>
      </c>
      <c r="C18" s="23" t="s">
        <v>50</v>
      </c>
      <c r="D18" s="19" t="s">
        <v>105</v>
      </c>
      <c r="E18" s="19">
        <v>41911</v>
      </c>
      <c r="F18" s="86">
        <v>9608.98</v>
      </c>
      <c r="G18" s="86">
        <v>1055.45</v>
      </c>
      <c r="H18" s="86">
        <v>9608.98</v>
      </c>
      <c r="I18" s="86">
        <v>1055.45</v>
      </c>
      <c r="J18" s="86"/>
      <c r="K18" s="86">
        <f t="shared" si="0"/>
        <v>0</v>
      </c>
      <c r="L18" s="18"/>
      <c r="M18" s="18"/>
      <c r="N18" s="26"/>
      <c r="O18" s="83">
        <f t="shared" si="1"/>
        <v>6.8212102632969618E-13</v>
      </c>
    </row>
    <row r="19" spans="1:15" x14ac:dyDescent="0.25">
      <c r="A19" s="27"/>
      <c r="B19" s="79" t="s">
        <v>79</v>
      </c>
      <c r="C19" s="23" t="s">
        <v>87</v>
      </c>
      <c r="D19" s="19" t="s">
        <v>105</v>
      </c>
      <c r="E19" s="19">
        <v>41911</v>
      </c>
      <c r="F19" s="86">
        <v>9643.85</v>
      </c>
      <c r="G19" s="86">
        <v>3663.98</v>
      </c>
      <c r="H19" s="86">
        <v>9643.85</v>
      </c>
      <c r="I19" s="86">
        <v>1446.58</v>
      </c>
      <c r="J19" s="86"/>
      <c r="K19" s="86">
        <f t="shared" si="0"/>
        <v>2217.4</v>
      </c>
      <c r="L19" s="18"/>
      <c r="M19" s="18"/>
      <c r="N19" s="26"/>
      <c r="O19" s="83">
        <f t="shared" si="1"/>
        <v>-4.5474735088646412E-13</v>
      </c>
    </row>
    <row r="20" spans="1:15" x14ac:dyDescent="0.25">
      <c r="A20" s="27"/>
      <c r="B20" s="79" t="s">
        <v>18</v>
      </c>
      <c r="C20" s="23" t="s">
        <v>19</v>
      </c>
      <c r="D20" s="19" t="s">
        <v>105</v>
      </c>
      <c r="E20" s="19">
        <v>41911</v>
      </c>
      <c r="F20" s="86">
        <v>33486.39</v>
      </c>
      <c r="G20" s="86">
        <v>15255</v>
      </c>
      <c r="H20" s="86">
        <v>33486.39</v>
      </c>
      <c r="I20" s="86">
        <v>5022.96</v>
      </c>
      <c r="J20" s="86"/>
      <c r="K20" s="86">
        <f t="shared" si="0"/>
        <v>10232.040000000001</v>
      </c>
      <c r="L20" s="18"/>
      <c r="M20" s="18"/>
      <c r="N20" s="26"/>
      <c r="O20" s="83">
        <f t="shared" si="1"/>
        <v>0</v>
      </c>
    </row>
    <row r="21" spans="1:15" x14ac:dyDescent="0.25">
      <c r="A21" s="27"/>
      <c r="B21" s="79" t="s">
        <v>80</v>
      </c>
      <c r="C21" s="23" t="s">
        <v>88</v>
      </c>
      <c r="D21" s="19" t="s">
        <v>105</v>
      </c>
      <c r="E21" s="19">
        <v>41913</v>
      </c>
      <c r="F21" s="86">
        <v>8917.65</v>
      </c>
      <c r="G21" s="86">
        <v>459</v>
      </c>
      <c r="H21" s="86">
        <v>8917.65</v>
      </c>
      <c r="I21" s="86">
        <v>459</v>
      </c>
      <c r="J21" s="86"/>
      <c r="K21" s="86">
        <f t="shared" si="0"/>
        <v>0</v>
      </c>
      <c r="L21" s="18"/>
      <c r="M21" s="18"/>
      <c r="N21" s="26"/>
      <c r="O21" s="83">
        <f t="shared" si="1"/>
        <v>0</v>
      </c>
    </row>
    <row r="22" spans="1:15" x14ac:dyDescent="0.25">
      <c r="A22" s="27"/>
      <c r="B22" s="79" t="s">
        <v>12</v>
      </c>
      <c r="C22" s="23" t="s">
        <v>13</v>
      </c>
      <c r="D22" s="19" t="s">
        <v>123</v>
      </c>
      <c r="E22" s="19">
        <v>41919</v>
      </c>
      <c r="F22" s="86">
        <v>39627.72</v>
      </c>
      <c r="G22" s="86">
        <v>7024.94</v>
      </c>
      <c r="H22" s="86">
        <v>39627.72</v>
      </c>
      <c r="I22" s="86">
        <v>6166.79</v>
      </c>
      <c r="J22" s="86"/>
      <c r="K22" s="86">
        <f t="shared" si="0"/>
        <v>858.14999999999964</v>
      </c>
      <c r="L22" s="18"/>
      <c r="M22" s="18"/>
      <c r="N22" s="26"/>
      <c r="O22" s="83">
        <f t="shared" si="1"/>
        <v>2.7284841053187847E-12</v>
      </c>
    </row>
    <row r="23" spans="1:15" x14ac:dyDescent="0.25">
      <c r="A23" s="27"/>
      <c r="B23" s="79" t="s">
        <v>47</v>
      </c>
      <c r="C23" s="23" t="s">
        <v>48</v>
      </c>
      <c r="D23" s="19" t="s">
        <v>123</v>
      </c>
      <c r="E23" s="19">
        <v>41926</v>
      </c>
      <c r="F23" s="86">
        <v>11135.02</v>
      </c>
      <c r="G23" s="86">
        <v>2905.57</v>
      </c>
      <c r="H23" s="86">
        <v>11135.02</v>
      </c>
      <c r="I23" s="86">
        <v>1759.8</v>
      </c>
      <c r="J23" s="86"/>
      <c r="K23" s="86">
        <f t="shared" si="0"/>
        <v>1145.7700000000002</v>
      </c>
      <c r="L23" s="18"/>
      <c r="M23" s="18"/>
      <c r="N23" s="26"/>
      <c r="O23" s="83">
        <f t="shared" si="1"/>
        <v>-4.5474735088646412E-13</v>
      </c>
    </row>
    <row r="24" spans="1:15" x14ac:dyDescent="0.25">
      <c r="A24" s="27"/>
      <c r="B24" s="79" t="s">
        <v>16</v>
      </c>
      <c r="C24" s="23" t="s">
        <v>17</v>
      </c>
      <c r="D24" s="19" t="s">
        <v>143</v>
      </c>
      <c r="E24" s="19">
        <v>41926</v>
      </c>
      <c r="F24" s="86">
        <v>29240.67</v>
      </c>
      <c r="G24" s="86">
        <v>6050.01</v>
      </c>
      <c r="H24" s="86">
        <v>29240.67</v>
      </c>
      <c r="I24" s="86">
        <v>6050.01</v>
      </c>
      <c r="J24" s="86"/>
      <c r="K24" s="86">
        <f t="shared" si="0"/>
        <v>0</v>
      </c>
      <c r="L24" s="18"/>
      <c r="M24" s="18"/>
      <c r="N24" s="26"/>
      <c r="O24" s="83">
        <f t="shared" si="1"/>
        <v>1.8189894035458565E-12</v>
      </c>
    </row>
    <row r="25" spans="1:15" x14ac:dyDescent="0.25">
      <c r="A25" s="27"/>
      <c r="B25" s="79" t="s">
        <v>120</v>
      </c>
      <c r="C25" s="23" t="s">
        <v>68</v>
      </c>
      <c r="D25" s="19" t="s">
        <v>143</v>
      </c>
      <c r="E25" s="19">
        <v>41932</v>
      </c>
      <c r="F25" s="86">
        <v>1804.11</v>
      </c>
      <c r="G25" s="86">
        <v>185.52</v>
      </c>
      <c r="H25" s="86">
        <v>1804.11</v>
      </c>
      <c r="I25" s="86">
        <v>185.52</v>
      </c>
      <c r="J25" s="86"/>
      <c r="K25" s="86">
        <f t="shared" si="0"/>
        <v>0</v>
      </c>
      <c r="L25" s="18"/>
      <c r="M25" s="18"/>
      <c r="N25" s="26"/>
      <c r="O25" s="83">
        <f t="shared" si="1"/>
        <v>-2.8421709430404007E-14</v>
      </c>
    </row>
    <row r="26" spans="1:15" x14ac:dyDescent="0.25">
      <c r="A26" s="27"/>
      <c r="B26" s="79" t="s">
        <v>62</v>
      </c>
      <c r="C26" s="23" t="s">
        <v>63</v>
      </c>
      <c r="D26" s="19" t="s">
        <v>143</v>
      </c>
      <c r="E26" s="19">
        <v>41933</v>
      </c>
      <c r="F26" s="86">
        <v>104692.17</v>
      </c>
      <c r="G26" s="86">
        <v>54050.53</v>
      </c>
      <c r="H26" s="86">
        <v>104692.17</v>
      </c>
      <c r="I26" s="86">
        <v>16843.32</v>
      </c>
      <c r="J26" s="86"/>
      <c r="K26" s="86">
        <f t="shared" si="0"/>
        <v>37207.21</v>
      </c>
      <c r="L26" s="18"/>
      <c r="M26" s="18"/>
      <c r="N26" s="26"/>
      <c r="O26" s="83">
        <f t="shared" si="1"/>
        <v>1.4551915228366852E-11</v>
      </c>
    </row>
    <row r="27" spans="1:15" x14ac:dyDescent="0.25">
      <c r="A27" s="27"/>
      <c r="B27" s="79" t="s">
        <v>62</v>
      </c>
      <c r="C27" s="23" t="s">
        <v>63</v>
      </c>
      <c r="D27" s="19" t="s">
        <v>143</v>
      </c>
      <c r="E27" s="19">
        <v>41933</v>
      </c>
      <c r="F27" s="86">
        <v>7596.61</v>
      </c>
      <c r="G27" s="86">
        <v>0</v>
      </c>
      <c r="H27" s="84">
        <v>7596.61</v>
      </c>
      <c r="I27" s="86">
        <v>0</v>
      </c>
      <c r="J27" s="86"/>
      <c r="K27" s="86">
        <f t="shared" si="0"/>
        <v>0</v>
      </c>
      <c r="L27" s="18"/>
      <c r="M27" s="18"/>
      <c r="N27" s="26"/>
      <c r="O27" s="83">
        <f t="shared" si="1"/>
        <v>0</v>
      </c>
    </row>
    <row r="28" spans="1:15" x14ac:dyDescent="0.25">
      <c r="A28" s="27"/>
      <c r="B28" s="79" t="s">
        <v>34</v>
      </c>
      <c r="C28" s="23" t="s">
        <v>35</v>
      </c>
      <c r="D28" s="19" t="s">
        <v>143</v>
      </c>
      <c r="E28" s="19">
        <v>41935</v>
      </c>
      <c r="F28" s="86">
        <v>855</v>
      </c>
      <c r="G28" s="86">
        <v>1735</v>
      </c>
      <c r="H28" s="86">
        <v>855</v>
      </c>
      <c r="I28" s="86">
        <v>128.25</v>
      </c>
      <c r="J28" s="86"/>
      <c r="K28" s="86">
        <f t="shared" si="0"/>
        <v>1606.75</v>
      </c>
      <c r="L28" s="18"/>
      <c r="M28" s="18"/>
      <c r="N28" s="26"/>
      <c r="O28" s="83">
        <f t="shared" si="1"/>
        <v>0</v>
      </c>
    </row>
    <row r="29" spans="1:15" x14ac:dyDescent="0.25">
      <c r="A29" s="27"/>
      <c r="B29" s="79" t="s">
        <v>64</v>
      </c>
      <c r="C29" s="23" t="s">
        <v>65</v>
      </c>
      <c r="D29" s="19" t="s">
        <v>143</v>
      </c>
      <c r="E29" s="19">
        <v>41936</v>
      </c>
      <c r="F29" s="86">
        <v>1058.3</v>
      </c>
      <c r="G29" s="86">
        <v>57.68</v>
      </c>
      <c r="H29" s="86">
        <v>1058.3</v>
      </c>
      <c r="I29" s="86">
        <v>57.68</v>
      </c>
      <c r="J29" s="86"/>
      <c r="K29" s="86">
        <f t="shared" si="0"/>
        <v>0</v>
      </c>
      <c r="L29" s="18"/>
      <c r="M29" s="18"/>
      <c r="N29" s="26"/>
      <c r="O29" s="83">
        <f t="shared" si="1"/>
        <v>6.3948846218409017E-14</v>
      </c>
    </row>
    <row r="30" spans="1:15" x14ac:dyDescent="0.25">
      <c r="A30" s="27"/>
      <c r="B30" s="79" t="s">
        <v>49</v>
      </c>
      <c r="C30" s="23" t="s">
        <v>50</v>
      </c>
      <c r="D30" s="19" t="s">
        <v>123</v>
      </c>
      <c r="E30" s="19">
        <v>41936</v>
      </c>
      <c r="F30" s="86">
        <v>11500.46</v>
      </c>
      <c r="G30" s="86">
        <v>1230.25</v>
      </c>
      <c r="H30" s="86">
        <v>11500.46</v>
      </c>
      <c r="I30" s="86">
        <v>1230.25</v>
      </c>
      <c r="J30" s="86"/>
      <c r="K30" s="86">
        <f t="shared" si="0"/>
        <v>0</v>
      </c>
      <c r="L30" s="18"/>
      <c r="M30" s="18"/>
      <c r="N30" s="26"/>
      <c r="O30" s="83">
        <f t="shared" si="1"/>
        <v>0</v>
      </c>
    </row>
    <row r="31" spans="1:15" x14ac:dyDescent="0.25">
      <c r="A31" s="27"/>
      <c r="B31" s="79" t="s">
        <v>60</v>
      </c>
      <c r="C31" s="23" t="s">
        <v>61</v>
      </c>
      <c r="D31" s="19" t="s">
        <v>143</v>
      </c>
      <c r="E31" s="19">
        <v>41937</v>
      </c>
      <c r="F31" s="86">
        <v>2873.81</v>
      </c>
      <c r="G31" s="86">
        <v>316.14</v>
      </c>
      <c r="H31" s="86">
        <v>2873.81</v>
      </c>
      <c r="I31" s="86">
        <v>316.14</v>
      </c>
      <c r="J31" s="86"/>
      <c r="K31" s="86">
        <f t="shared" si="0"/>
        <v>0</v>
      </c>
      <c r="L31" s="18"/>
      <c r="M31" s="18"/>
      <c r="N31" s="26"/>
      <c r="O31" s="83">
        <f t="shared" si="1"/>
        <v>-1.1368683772161603E-13</v>
      </c>
    </row>
    <row r="32" spans="1:15" x14ac:dyDescent="0.25">
      <c r="A32" s="27"/>
      <c r="B32" s="79" t="s">
        <v>37</v>
      </c>
      <c r="C32" s="23" t="s">
        <v>38</v>
      </c>
      <c r="D32" s="19" t="s">
        <v>143</v>
      </c>
      <c r="E32" s="19">
        <v>41937</v>
      </c>
      <c r="F32" s="86">
        <v>11931.87</v>
      </c>
      <c r="G32" s="86">
        <v>2115.35</v>
      </c>
      <c r="H32" s="86">
        <v>11931.87</v>
      </c>
      <c r="I32" s="86">
        <v>2115.35</v>
      </c>
      <c r="J32" s="86"/>
      <c r="K32" s="86">
        <f t="shared" si="0"/>
        <v>0</v>
      </c>
      <c r="L32" s="18"/>
      <c r="M32" s="18"/>
      <c r="N32" s="26"/>
      <c r="O32" s="83">
        <f t="shared" si="1"/>
        <v>4.5474735088646412E-13</v>
      </c>
    </row>
    <row r="33" spans="1:15" x14ac:dyDescent="0.25">
      <c r="A33" s="27"/>
      <c r="B33" s="79" t="s">
        <v>22</v>
      </c>
      <c r="C33" s="23" t="s">
        <v>23</v>
      </c>
      <c r="D33" s="19" t="s">
        <v>143</v>
      </c>
      <c r="E33" s="19">
        <v>41936</v>
      </c>
      <c r="F33" s="86">
        <v>12861.72</v>
      </c>
      <c r="G33" s="86">
        <v>2575</v>
      </c>
      <c r="H33" s="86">
        <v>12861.72</v>
      </c>
      <c r="I33" s="86">
        <v>2575</v>
      </c>
      <c r="J33" s="86"/>
      <c r="K33" s="86">
        <f t="shared" si="0"/>
        <v>0</v>
      </c>
      <c r="L33" s="18"/>
      <c r="M33" s="18"/>
      <c r="N33" s="26"/>
      <c r="O33" s="83">
        <f t="shared" si="1"/>
        <v>0</v>
      </c>
    </row>
    <row r="34" spans="1:15" x14ac:dyDescent="0.25">
      <c r="A34" s="27"/>
      <c r="B34" s="79" t="s">
        <v>6</v>
      </c>
      <c r="C34" s="23" t="s">
        <v>7</v>
      </c>
      <c r="D34" s="19" t="s">
        <v>143</v>
      </c>
      <c r="E34" s="19">
        <v>41939</v>
      </c>
      <c r="F34" s="86">
        <v>28107.32</v>
      </c>
      <c r="G34" s="86">
        <v>8245.7999999999993</v>
      </c>
      <c r="H34" s="86">
        <v>28107.32</v>
      </c>
      <c r="I34" s="86">
        <v>8245.7999999999993</v>
      </c>
      <c r="J34" s="86"/>
      <c r="K34" s="86">
        <f t="shared" si="0"/>
        <v>0</v>
      </c>
      <c r="L34" s="18"/>
      <c r="M34" s="18"/>
      <c r="N34" s="26"/>
      <c r="O34" s="83">
        <f t="shared" si="1"/>
        <v>-3.637978807091713E-12</v>
      </c>
    </row>
    <row r="35" spans="1:15" x14ac:dyDescent="0.25">
      <c r="A35" s="27"/>
      <c r="B35" s="79" t="s">
        <v>6</v>
      </c>
      <c r="C35" s="23" t="s">
        <v>55</v>
      </c>
      <c r="D35" s="19" t="s">
        <v>143</v>
      </c>
      <c r="E35" s="19">
        <v>41939</v>
      </c>
      <c r="F35" s="86">
        <v>4082.4</v>
      </c>
      <c r="G35" s="86">
        <v>5004.09</v>
      </c>
      <c r="H35" s="86">
        <v>4082.4</v>
      </c>
      <c r="I35" s="86">
        <v>5004.09</v>
      </c>
      <c r="J35" s="86"/>
      <c r="K35" s="86">
        <f t="shared" si="0"/>
        <v>0</v>
      </c>
      <c r="L35" s="18"/>
      <c r="M35" s="18"/>
      <c r="N35" s="26"/>
      <c r="O35" s="83">
        <f t="shared" si="1"/>
        <v>0</v>
      </c>
    </row>
    <row r="36" spans="1:15" x14ac:dyDescent="0.25">
      <c r="A36" s="27"/>
      <c r="B36" s="79" t="s">
        <v>6</v>
      </c>
      <c r="C36" s="23" t="s">
        <v>25</v>
      </c>
      <c r="D36" s="19" t="s">
        <v>143</v>
      </c>
      <c r="E36" s="19">
        <v>41939</v>
      </c>
      <c r="F36" s="86">
        <v>3332.96</v>
      </c>
      <c r="G36" s="86">
        <v>3095.97</v>
      </c>
      <c r="H36" s="86">
        <v>3332.96</v>
      </c>
      <c r="I36" s="86">
        <v>3095.97</v>
      </c>
      <c r="J36" s="86"/>
      <c r="K36" s="86">
        <f t="shared" ref="K36:K58" si="2">G36-I36</f>
        <v>0</v>
      </c>
      <c r="L36" s="18"/>
      <c r="M36" s="18"/>
      <c r="N36" s="26"/>
      <c r="O36" s="83">
        <f t="shared" ref="O36:O67" si="3">(F36+G36)-H36-I36-J36-K36-L36-M36-N36</f>
        <v>4.5474735088646412E-13</v>
      </c>
    </row>
    <row r="37" spans="1:15" x14ac:dyDescent="0.25">
      <c r="A37" s="27"/>
      <c r="B37" s="79" t="s">
        <v>6</v>
      </c>
      <c r="C37" s="23" t="s">
        <v>14</v>
      </c>
      <c r="D37" s="19" t="s">
        <v>143</v>
      </c>
      <c r="E37" s="19">
        <v>41939</v>
      </c>
      <c r="F37" s="86">
        <v>0</v>
      </c>
      <c r="G37" s="86">
        <v>3882.05</v>
      </c>
      <c r="H37" s="86">
        <v>0</v>
      </c>
      <c r="I37" s="86">
        <v>3879.23</v>
      </c>
      <c r="J37" s="86"/>
      <c r="K37" s="86">
        <f t="shared" si="2"/>
        <v>2.8200000000001637</v>
      </c>
      <c r="L37" s="18"/>
      <c r="M37" s="18"/>
      <c r="N37" s="26"/>
      <c r="O37" s="83">
        <f t="shared" si="3"/>
        <v>0</v>
      </c>
    </row>
    <row r="38" spans="1:15" x14ac:dyDescent="0.25">
      <c r="A38" s="27"/>
      <c r="B38" s="79" t="s">
        <v>6</v>
      </c>
      <c r="C38" s="23" t="s">
        <v>8</v>
      </c>
      <c r="D38" s="19" t="s">
        <v>143</v>
      </c>
      <c r="E38" s="19">
        <v>41939</v>
      </c>
      <c r="F38" s="86">
        <v>80117.429999999993</v>
      </c>
      <c r="G38" s="86">
        <v>15236.3</v>
      </c>
      <c r="H38" s="86">
        <v>80117.429999999993</v>
      </c>
      <c r="I38" s="86">
        <v>15236.3</v>
      </c>
      <c r="J38" s="86"/>
      <c r="K38" s="86">
        <f t="shared" si="2"/>
        <v>0</v>
      </c>
      <c r="L38" s="18"/>
      <c r="M38" s="18"/>
      <c r="N38" s="26"/>
      <c r="O38" s="83">
        <f t="shared" si="3"/>
        <v>3.637978807091713E-12</v>
      </c>
    </row>
    <row r="39" spans="1:15" x14ac:dyDescent="0.25">
      <c r="A39" s="27"/>
      <c r="B39" s="79" t="s">
        <v>6</v>
      </c>
      <c r="C39" s="23" t="s">
        <v>9</v>
      </c>
      <c r="D39" s="19" t="s">
        <v>143</v>
      </c>
      <c r="E39" s="19">
        <v>41939</v>
      </c>
      <c r="F39" s="86">
        <v>99212.77</v>
      </c>
      <c r="G39" s="86">
        <v>17408.22</v>
      </c>
      <c r="H39" s="86">
        <v>99212.77</v>
      </c>
      <c r="I39" s="86">
        <v>17408.22</v>
      </c>
      <c r="J39" s="86"/>
      <c r="K39" s="86">
        <f t="shared" si="2"/>
        <v>0</v>
      </c>
      <c r="L39" s="18"/>
      <c r="M39" s="18"/>
      <c r="N39" s="26"/>
      <c r="O39" s="83">
        <f t="shared" si="3"/>
        <v>0</v>
      </c>
    </row>
    <row r="40" spans="1:15" x14ac:dyDescent="0.25">
      <c r="A40" s="27"/>
      <c r="B40" s="79" t="s">
        <v>6</v>
      </c>
      <c r="C40" s="23" t="s">
        <v>15</v>
      </c>
      <c r="D40" s="19" t="s">
        <v>143</v>
      </c>
      <c r="E40" s="19">
        <v>41939</v>
      </c>
      <c r="F40" s="86">
        <v>14835.74</v>
      </c>
      <c r="G40" s="86">
        <v>4650.6099999999997</v>
      </c>
      <c r="H40" s="86">
        <v>14835.74</v>
      </c>
      <c r="I40" s="86">
        <v>4650.6099999999997</v>
      </c>
      <c r="J40" s="86"/>
      <c r="K40" s="86">
        <f t="shared" si="2"/>
        <v>0</v>
      </c>
      <c r="L40" s="18"/>
      <c r="M40" s="18"/>
      <c r="N40" s="26"/>
      <c r="O40" s="83">
        <f t="shared" si="3"/>
        <v>-9.0949470177292824E-13</v>
      </c>
    </row>
    <row r="41" spans="1:15" x14ac:dyDescent="0.25">
      <c r="A41" s="27"/>
      <c r="B41" s="79" t="s">
        <v>6</v>
      </c>
      <c r="C41" s="23" t="s">
        <v>26</v>
      </c>
      <c r="D41" s="19" t="s">
        <v>143</v>
      </c>
      <c r="E41" s="19">
        <v>41939</v>
      </c>
      <c r="F41" s="86">
        <v>49</v>
      </c>
      <c r="G41" s="86">
        <v>1683.43</v>
      </c>
      <c r="H41" s="86">
        <v>49</v>
      </c>
      <c r="I41" s="86">
        <v>1683.43</v>
      </c>
      <c r="J41" s="86"/>
      <c r="K41" s="86">
        <f t="shared" si="2"/>
        <v>0</v>
      </c>
      <c r="L41" s="18"/>
      <c r="M41" s="18"/>
      <c r="N41" s="26"/>
      <c r="O41" s="83">
        <f t="shared" si="3"/>
        <v>0</v>
      </c>
    </row>
    <row r="42" spans="1:15" x14ac:dyDescent="0.25">
      <c r="A42" s="27"/>
      <c r="B42" s="79" t="s">
        <v>6</v>
      </c>
      <c r="C42" s="23" t="s">
        <v>27</v>
      </c>
      <c r="D42" s="19" t="s">
        <v>143</v>
      </c>
      <c r="E42" s="19">
        <v>41939</v>
      </c>
      <c r="F42" s="86">
        <v>17952.43</v>
      </c>
      <c r="G42" s="86">
        <v>4614.05</v>
      </c>
      <c r="H42" s="86">
        <v>17952.43</v>
      </c>
      <c r="I42" s="86">
        <v>4614.05</v>
      </c>
      <c r="J42" s="86"/>
      <c r="K42" s="86">
        <f t="shared" si="2"/>
        <v>0</v>
      </c>
      <c r="L42" s="18"/>
      <c r="M42" s="18"/>
      <c r="N42" s="26"/>
      <c r="O42" s="83">
        <f t="shared" si="3"/>
        <v>-9.0949470177292824E-13</v>
      </c>
    </row>
    <row r="43" spans="1:15" x14ac:dyDescent="0.25">
      <c r="A43" s="27"/>
      <c r="B43" s="79" t="s">
        <v>6</v>
      </c>
      <c r="C43" s="23" t="s">
        <v>30</v>
      </c>
      <c r="D43" s="19" t="s">
        <v>143</v>
      </c>
      <c r="E43" s="19">
        <v>41939</v>
      </c>
      <c r="F43" s="86">
        <v>11427.02</v>
      </c>
      <c r="G43" s="86">
        <v>4506.95</v>
      </c>
      <c r="H43" s="86">
        <v>11427.02</v>
      </c>
      <c r="I43" s="86">
        <v>4506.95</v>
      </c>
      <c r="J43" s="86"/>
      <c r="K43" s="86">
        <f t="shared" si="2"/>
        <v>0</v>
      </c>
      <c r="L43" s="18"/>
      <c r="M43" s="18"/>
      <c r="N43" s="26"/>
      <c r="O43" s="83">
        <f t="shared" si="3"/>
        <v>9.0949470177292824E-13</v>
      </c>
    </row>
    <row r="44" spans="1:15" x14ac:dyDescent="0.25">
      <c r="A44" s="27"/>
      <c r="B44" s="79" t="s">
        <v>6</v>
      </c>
      <c r="C44" s="23" t="s">
        <v>73</v>
      </c>
      <c r="D44" s="19" t="s">
        <v>143</v>
      </c>
      <c r="E44" s="19">
        <v>41939</v>
      </c>
      <c r="F44" s="86">
        <v>7915.15</v>
      </c>
      <c r="G44" s="86">
        <v>3624.2</v>
      </c>
      <c r="H44" s="86">
        <v>7915.15</v>
      </c>
      <c r="I44" s="86">
        <v>3615.25</v>
      </c>
      <c r="J44" s="86"/>
      <c r="K44" s="86">
        <f t="shared" si="2"/>
        <v>8.9499999999998181</v>
      </c>
      <c r="L44" s="18"/>
      <c r="M44" s="18"/>
      <c r="N44" s="26"/>
      <c r="O44" s="83">
        <f t="shared" si="3"/>
        <v>-9.0949470177292824E-13</v>
      </c>
    </row>
    <row r="45" spans="1:15" x14ac:dyDescent="0.25">
      <c r="A45" s="27"/>
      <c r="B45" s="79" t="s">
        <v>6</v>
      </c>
      <c r="C45" s="23" t="s">
        <v>31</v>
      </c>
      <c r="D45" s="19" t="s">
        <v>143</v>
      </c>
      <c r="E45" s="19">
        <v>41939</v>
      </c>
      <c r="F45" s="86">
        <v>1560.48</v>
      </c>
      <c r="G45" s="86">
        <v>1430.71</v>
      </c>
      <c r="H45" s="86">
        <v>1560.48</v>
      </c>
      <c r="I45" s="86">
        <v>1430.71</v>
      </c>
      <c r="J45" s="86"/>
      <c r="K45" s="86">
        <f t="shared" si="2"/>
        <v>0</v>
      </c>
      <c r="L45" s="18"/>
      <c r="M45" s="18"/>
      <c r="N45" s="26"/>
      <c r="O45" s="83">
        <f t="shared" si="3"/>
        <v>0</v>
      </c>
    </row>
    <row r="46" spans="1:15" x14ac:dyDescent="0.25">
      <c r="A46" s="27"/>
      <c r="B46" s="79" t="s">
        <v>6</v>
      </c>
      <c r="C46" s="23" t="s">
        <v>29</v>
      </c>
      <c r="D46" s="19" t="s">
        <v>143</v>
      </c>
      <c r="E46" s="19">
        <v>41939</v>
      </c>
      <c r="F46" s="86">
        <v>13065.64</v>
      </c>
      <c r="G46" s="86">
        <v>3844.72</v>
      </c>
      <c r="H46" s="86">
        <v>13065.64</v>
      </c>
      <c r="I46" s="86">
        <v>3844.72</v>
      </c>
      <c r="J46" s="86"/>
      <c r="K46" s="86">
        <f t="shared" si="2"/>
        <v>0</v>
      </c>
      <c r="L46" s="18"/>
      <c r="M46" s="18"/>
      <c r="N46" s="26"/>
      <c r="O46" s="83">
        <f t="shared" si="3"/>
        <v>1.3642420526593924E-12</v>
      </c>
    </row>
    <row r="47" spans="1:15" x14ac:dyDescent="0.25">
      <c r="A47" s="27"/>
      <c r="B47" s="79" t="s">
        <v>6</v>
      </c>
      <c r="C47" s="23" t="s">
        <v>28</v>
      </c>
      <c r="D47" s="19" t="s">
        <v>143</v>
      </c>
      <c r="E47" s="19">
        <v>41939</v>
      </c>
      <c r="F47" s="86">
        <v>8755.1200000000008</v>
      </c>
      <c r="G47" s="86">
        <v>2866.23</v>
      </c>
      <c r="H47" s="86">
        <v>8755.1200000000008</v>
      </c>
      <c r="I47" s="86">
        <v>2866.23</v>
      </c>
      <c r="J47" s="86"/>
      <c r="K47" s="86">
        <f t="shared" si="2"/>
        <v>0</v>
      </c>
      <c r="L47" s="18"/>
      <c r="M47" s="18"/>
      <c r="N47" s="26"/>
      <c r="O47" s="83">
        <f t="shared" si="3"/>
        <v>-4.5474735088646412E-13</v>
      </c>
    </row>
    <row r="48" spans="1:15" x14ac:dyDescent="0.25">
      <c r="A48" s="27"/>
      <c r="B48" s="79" t="s">
        <v>6</v>
      </c>
      <c r="C48" s="23" t="s">
        <v>10</v>
      </c>
      <c r="D48" s="19" t="s">
        <v>143</v>
      </c>
      <c r="E48" s="19">
        <v>41939</v>
      </c>
      <c r="F48" s="86">
        <v>13506.91</v>
      </c>
      <c r="G48" s="86">
        <v>5365.72</v>
      </c>
      <c r="H48" s="86">
        <v>13506.91</v>
      </c>
      <c r="I48" s="86">
        <v>5365.72</v>
      </c>
      <c r="J48" s="86"/>
      <c r="K48" s="86">
        <f t="shared" si="2"/>
        <v>0</v>
      </c>
      <c r="L48" s="18"/>
      <c r="M48" s="18"/>
      <c r="N48" s="26"/>
      <c r="O48" s="83">
        <f t="shared" si="3"/>
        <v>9.0949470177292824E-13</v>
      </c>
    </row>
    <row r="49" spans="1:15" x14ac:dyDescent="0.25">
      <c r="A49" s="27"/>
      <c r="B49" s="79" t="s">
        <v>6</v>
      </c>
      <c r="C49" s="23" t="s">
        <v>24</v>
      </c>
      <c r="D49" s="19" t="s">
        <v>143</v>
      </c>
      <c r="E49" s="19">
        <v>41939</v>
      </c>
      <c r="F49" s="86">
        <v>3795.48</v>
      </c>
      <c r="G49" s="86">
        <v>1990.1</v>
      </c>
      <c r="H49" s="86">
        <v>3795.48</v>
      </c>
      <c r="I49" s="86">
        <v>1990.1</v>
      </c>
      <c r="J49" s="86"/>
      <c r="K49" s="86">
        <f t="shared" si="2"/>
        <v>0</v>
      </c>
      <c r="L49" s="18"/>
      <c r="M49" s="18"/>
      <c r="N49" s="26"/>
      <c r="O49" s="83">
        <f t="shared" si="3"/>
        <v>0</v>
      </c>
    </row>
    <row r="50" spans="1:15" x14ac:dyDescent="0.25">
      <c r="A50" s="27"/>
      <c r="B50" s="79" t="s">
        <v>6</v>
      </c>
      <c r="C50" s="23" t="s">
        <v>11</v>
      </c>
      <c r="D50" s="19" t="s">
        <v>143</v>
      </c>
      <c r="E50" s="19">
        <v>41939</v>
      </c>
      <c r="F50" s="86">
        <v>98284.73</v>
      </c>
      <c r="G50" s="86">
        <v>27555.77</v>
      </c>
      <c r="H50" s="86">
        <v>98284.73</v>
      </c>
      <c r="I50" s="86">
        <v>27545.77</v>
      </c>
      <c r="J50" s="86"/>
      <c r="K50" s="86">
        <f t="shared" si="2"/>
        <v>10</v>
      </c>
      <c r="L50" s="18"/>
      <c r="M50" s="86"/>
      <c r="N50" s="26"/>
      <c r="O50" s="83">
        <f t="shared" si="3"/>
        <v>3.637978807091713E-12</v>
      </c>
    </row>
    <row r="51" spans="1:15" x14ac:dyDescent="0.25">
      <c r="A51" s="27"/>
      <c r="B51" s="79" t="s">
        <v>76</v>
      </c>
      <c r="C51" s="23" t="s">
        <v>77</v>
      </c>
      <c r="D51" s="19" t="s">
        <v>123</v>
      </c>
      <c r="E51" s="19">
        <v>41939</v>
      </c>
      <c r="F51" s="86">
        <v>2756.68</v>
      </c>
      <c r="G51" s="86">
        <v>643.5</v>
      </c>
      <c r="H51" s="86">
        <v>2756.68</v>
      </c>
      <c r="I51" s="86">
        <v>643.5</v>
      </c>
      <c r="J51" s="86"/>
      <c r="K51" s="86">
        <f t="shared" si="2"/>
        <v>0</v>
      </c>
      <c r="L51" s="18"/>
      <c r="M51" s="86"/>
      <c r="N51" s="26"/>
      <c r="O51" s="83">
        <f t="shared" si="3"/>
        <v>0</v>
      </c>
    </row>
    <row r="52" spans="1:15" x14ac:dyDescent="0.25">
      <c r="A52" s="27"/>
      <c r="B52" s="79" t="s">
        <v>45</v>
      </c>
      <c r="C52" s="23" t="s">
        <v>46</v>
      </c>
      <c r="D52" s="19" t="s">
        <v>143</v>
      </c>
      <c r="E52" s="19">
        <v>41939</v>
      </c>
      <c r="F52" s="86">
        <v>7672.58</v>
      </c>
      <c r="G52" s="86">
        <v>875.5</v>
      </c>
      <c r="H52" s="86">
        <v>7672.58</v>
      </c>
      <c r="I52" s="86">
        <v>875.5</v>
      </c>
      <c r="J52" s="18"/>
      <c r="K52" s="86">
        <f t="shared" si="2"/>
        <v>0</v>
      </c>
      <c r="L52" s="18"/>
      <c r="M52" s="86"/>
      <c r="N52" s="26"/>
      <c r="O52" s="83">
        <f t="shared" si="3"/>
        <v>0</v>
      </c>
    </row>
    <row r="53" spans="1:15" x14ac:dyDescent="0.25">
      <c r="A53" s="27"/>
      <c r="B53" s="79" t="s">
        <v>81</v>
      </c>
      <c r="C53" s="23" t="s">
        <v>89</v>
      </c>
      <c r="D53" s="19" t="s">
        <v>123</v>
      </c>
      <c r="E53" s="19">
        <v>41940</v>
      </c>
      <c r="F53" s="86">
        <v>37174.519999999997</v>
      </c>
      <c r="G53" s="86">
        <v>7827.27</v>
      </c>
      <c r="H53" s="86">
        <v>37174.519999999997</v>
      </c>
      <c r="I53" s="86">
        <v>7827.27</v>
      </c>
      <c r="J53" s="18"/>
      <c r="K53" s="86">
        <f t="shared" si="2"/>
        <v>0</v>
      </c>
      <c r="L53" s="18"/>
      <c r="M53" s="86"/>
      <c r="N53" s="26"/>
      <c r="O53" s="83">
        <f t="shared" si="3"/>
        <v>-3.637978807091713E-12</v>
      </c>
    </row>
    <row r="54" spans="1:15" x14ac:dyDescent="0.25">
      <c r="A54" s="27"/>
      <c r="B54" s="79" t="s">
        <v>18</v>
      </c>
      <c r="C54" s="23" t="s">
        <v>19</v>
      </c>
      <c r="D54" s="19" t="s">
        <v>123</v>
      </c>
      <c r="E54" s="19">
        <v>41940</v>
      </c>
      <c r="F54" s="86">
        <v>41321.75</v>
      </c>
      <c r="G54" s="86">
        <v>25944.12</v>
      </c>
      <c r="H54" s="86">
        <v>41321.75</v>
      </c>
      <c r="I54" s="86">
        <v>6198.26</v>
      </c>
      <c r="J54" s="18"/>
      <c r="K54" s="86">
        <f t="shared" si="2"/>
        <v>19745.86</v>
      </c>
      <c r="L54" s="18"/>
      <c r="M54" s="86"/>
      <c r="N54" s="26"/>
      <c r="O54" s="83">
        <f t="shared" si="3"/>
        <v>-7.2759576141834259E-12</v>
      </c>
    </row>
    <row r="55" spans="1:15" x14ac:dyDescent="0.25">
      <c r="A55" s="27"/>
      <c r="B55" s="79" t="s">
        <v>39</v>
      </c>
      <c r="C55" s="23" t="s">
        <v>40</v>
      </c>
      <c r="D55" s="19" t="s">
        <v>143</v>
      </c>
      <c r="E55" s="19">
        <v>41941</v>
      </c>
      <c r="F55" s="86">
        <v>65254.67</v>
      </c>
      <c r="G55" s="86">
        <v>0</v>
      </c>
      <c r="H55" s="86">
        <v>65254.67</v>
      </c>
      <c r="I55" s="86">
        <v>0</v>
      </c>
      <c r="J55" s="18"/>
      <c r="K55" s="86">
        <f t="shared" si="2"/>
        <v>0</v>
      </c>
      <c r="L55" s="18"/>
      <c r="M55" s="86"/>
      <c r="N55" s="26"/>
      <c r="O55" s="83">
        <f t="shared" si="3"/>
        <v>0</v>
      </c>
    </row>
    <row r="56" spans="1:15" x14ac:dyDescent="0.25">
      <c r="A56" s="27"/>
      <c r="B56" s="79" t="s">
        <v>32</v>
      </c>
      <c r="C56" s="23" t="s">
        <v>33</v>
      </c>
      <c r="D56" s="19" t="s">
        <v>143</v>
      </c>
      <c r="E56" s="19">
        <v>41941</v>
      </c>
      <c r="F56" s="86">
        <v>15528.29</v>
      </c>
      <c r="G56" s="86">
        <v>2120.0300000000002</v>
      </c>
      <c r="H56" s="86">
        <v>15528.29</v>
      </c>
      <c r="I56" s="86">
        <v>2120.0300000000002</v>
      </c>
      <c r="J56" s="86"/>
      <c r="K56" s="86">
        <f t="shared" si="2"/>
        <v>0</v>
      </c>
      <c r="L56" s="18"/>
      <c r="M56" s="18"/>
      <c r="N56" s="26"/>
      <c r="O56" s="83">
        <f t="shared" si="3"/>
        <v>-1.3642420526593924E-12</v>
      </c>
    </row>
    <row r="57" spans="1:15" x14ac:dyDescent="0.25">
      <c r="A57" s="27"/>
      <c r="B57" s="79" t="s">
        <v>78</v>
      </c>
      <c r="C57" s="23" t="s">
        <v>86</v>
      </c>
      <c r="D57" s="19" t="s">
        <v>143</v>
      </c>
      <c r="E57" s="19">
        <v>41941</v>
      </c>
      <c r="F57" s="86">
        <v>24461.46</v>
      </c>
      <c r="G57" s="86">
        <v>9963.77</v>
      </c>
      <c r="H57" s="86">
        <v>24461.46</v>
      </c>
      <c r="I57" s="86">
        <v>6529.2</v>
      </c>
      <c r="J57" s="86"/>
      <c r="K57" s="86">
        <f t="shared" si="2"/>
        <v>3434.5700000000006</v>
      </c>
      <c r="L57" s="86"/>
      <c r="M57" s="86"/>
      <c r="N57" s="26"/>
      <c r="O57" s="83">
        <f t="shared" si="3"/>
        <v>-3.637978807091713E-12</v>
      </c>
    </row>
    <row r="58" spans="1:15" x14ac:dyDescent="0.25">
      <c r="A58" s="27"/>
      <c r="B58" s="79" t="s">
        <v>20</v>
      </c>
      <c r="C58" s="23" t="s">
        <v>21</v>
      </c>
      <c r="D58" s="19" t="s">
        <v>143</v>
      </c>
      <c r="E58" s="19">
        <v>41941</v>
      </c>
      <c r="F58" s="86">
        <v>48172.47</v>
      </c>
      <c r="G58" s="86">
        <v>9376.2999999999993</v>
      </c>
      <c r="H58" s="86">
        <v>48172.47</v>
      </c>
      <c r="I58" s="86">
        <v>9376.2999999999993</v>
      </c>
      <c r="J58" s="86"/>
      <c r="K58" s="86">
        <f t="shared" si="2"/>
        <v>0</v>
      </c>
      <c r="L58" s="86"/>
      <c r="M58" s="86"/>
      <c r="N58" s="26"/>
      <c r="O58" s="83">
        <f t="shared" si="3"/>
        <v>3.637978807091713E-12</v>
      </c>
    </row>
    <row r="59" spans="1:15" x14ac:dyDescent="0.25">
      <c r="A59" s="27"/>
      <c r="B59" s="79" t="s">
        <v>53</v>
      </c>
      <c r="C59" s="23" t="s">
        <v>54</v>
      </c>
      <c r="D59" s="19" t="s">
        <v>143</v>
      </c>
      <c r="E59" s="19">
        <v>41942</v>
      </c>
      <c r="F59" s="86">
        <v>6420.68</v>
      </c>
      <c r="G59" s="86">
        <v>369.72</v>
      </c>
      <c r="H59" s="86">
        <v>6420.68</v>
      </c>
      <c r="I59" s="86">
        <v>369.72</v>
      </c>
      <c r="J59" s="86"/>
      <c r="K59" s="86"/>
      <c r="L59" s="86"/>
      <c r="M59" s="86"/>
      <c r="N59" s="26"/>
      <c r="O59" s="83">
        <f t="shared" si="3"/>
        <v>2.2737367544323206E-13</v>
      </c>
    </row>
    <row r="60" spans="1:15" x14ac:dyDescent="0.25">
      <c r="A60" s="27"/>
      <c r="B60" s="79" t="s">
        <v>69</v>
      </c>
      <c r="C60" s="23" t="s">
        <v>70</v>
      </c>
      <c r="D60" s="19" t="s">
        <v>143</v>
      </c>
      <c r="E60" s="19">
        <v>41943</v>
      </c>
      <c r="F60" s="86">
        <v>2165.44</v>
      </c>
      <c r="G60" s="86">
        <v>324.79000000000002</v>
      </c>
      <c r="H60" s="86">
        <v>2165.44</v>
      </c>
      <c r="I60" s="86">
        <v>324.79000000000002</v>
      </c>
      <c r="J60" s="86"/>
      <c r="K60" s="86">
        <f>G60-I60</f>
        <v>0</v>
      </c>
      <c r="L60" s="86"/>
      <c r="M60" s="86"/>
      <c r="N60" s="26"/>
      <c r="O60" s="83">
        <f t="shared" si="3"/>
        <v>-5.6843418860808015E-14</v>
      </c>
    </row>
    <row r="61" spans="1:15" x14ac:dyDescent="0.25">
      <c r="A61" s="27"/>
      <c r="B61" s="79" t="s">
        <v>79</v>
      </c>
      <c r="C61" s="23" t="s">
        <v>87</v>
      </c>
      <c r="D61" s="19" t="s">
        <v>123</v>
      </c>
      <c r="E61" s="19">
        <v>41943</v>
      </c>
      <c r="F61" s="86">
        <v>9838.9599999999991</v>
      </c>
      <c r="G61" s="86">
        <v>3938.38</v>
      </c>
      <c r="H61" s="86">
        <v>9838.9599999999991</v>
      </c>
      <c r="I61" s="86">
        <v>1475.84</v>
      </c>
      <c r="J61" s="86"/>
      <c r="K61" s="86">
        <f>G61-I61</f>
        <v>2462.54</v>
      </c>
      <c r="L61" s="86"/>
      <c r="M61" s="86"/>
      <c r="N61" s="26"/>
      <c r="O61" s="83">
        <f t="shared" si="3"/>
        <v>9.0949470177292824E-13</v>
      </c>
    </row>
    <row r="62" spans="1:15" x14ac:dyDescent="0.25">
      <c r="A62" s="27"/>
      <c r="B62" s="79" t="s">
        <v>56</v>
      </c>
      <c r="C62" s="23" t="s">
        <v>57</v>
      </c>
      <c r="D62" s="19" t="s">
        <v>143</v>
      </c>
      <c r="E62" s="19">
        <v>41943</v>
      </c>
      <c r="F62" s="86">
        <v>30247.8</v>
      </c>
      <c r="G62" s="86">
        <v>5399.84</v>
      </c>
      <c r="H62" s="86">
        <v>30247.8</v>
      </c>
      <c r="I62" s="86">
        <v>5399.84</v>
      </c>
      <c r="J62" s="86"/>
      <c r="K62" s="86">
        <f>G62-I62</f>
        <v>0</v>
      </c>
      <c r="L62" s="86"/>
      <c r="M62" s="86"/>
      <c r="N62" s="26"/>
      <c r="O62" s="83">
        <f t="shared" si="3"/>
        <v>0</v>
      </c>
    </row>
    <row r="63" spans="1:15" x14ac:dyDescent="0.25">
      <c r="A63" s="27"/>
      <c r="B63" s="79" t="s">
        <v>80</v>
      </c>
      <c r="C63" s="23" t="s">
        <v>88</v>
      </c>
      <c r="D63" s="19" t="s">
        <v>123</v>
      </c>
      <c r="E63" s="19">
        <v>41943</v>
      </c>
      <c r="F63" s="86">
        <v>9607.68</v>
      </c>
      <c r="G63" s="86">
        <v>4718</v>
      </c>
      <c r="H63" s="86">
        <v>9607.68</v>
      </c>
      <c r="I63" s="86">
        <v>2327.31</v>
      </c>
      <c r="J63" s="86"/>
      <c r="K63" s="86">
        <f>G63-I63</f>
        <v>2390.69</v>
      </c>
      <c r="L63" s="86"/>
      <c r="M63" s="18"/>
      <c r="N63" s="26"/>
      <c r="O63" s="83">
        <f t="shared" si="3"/>
        <v>0</v>
      </c>
    </row>
    <row r="64" spans="1:15" x14ac:dyDescent="0.25">
      <c r="A64" s="27"/>
      <c r="B64" s="79" t="s">
        <v>66</v>
      </c>
      <c r="C64" s="23" t="s">
        <v>67</v>
      </c>
      <c r="D64" s="19" t="s">
        <v>143</v>
      </c>
      <c r="E64" s="19">
        <v>41948</v>
      </c>
      <c r="F64" s="86">
        <v>27539.93</v>
      </c>
      <c r="G64" s="86">
        <v>9776.61</v>
      </c>
      <c r="H64" s="86">
        <v>27539.93</v>
      </c>
      <c r="I64" s="86">
        <v>7523.76</v>
      </c>
      <c r="J64" s="86"/>
      <c r="K64" s="86">
        <f>G64-I64</f>
        <v>2252.8500000000004</v>
      </c>
      <c r="L64" s="86"/>
      <c r="M64" s="18"/>
      <c r="N64" s="26"/>
      <c r="O64" s="83">
        <f t="shared" si="3"/>
        <v>0</v>
      </c>
    </row>
    <row r="65" spans="1:15" x14ac:dyDescent="0.25">
      <c r="A65" s="27"/>
      <c r="B65" s="79" t="s">
        <v>83</v>
      </c>
      <c r="C65" s="23" t="s">
        <v>91</v>
      </c>
      <c r="D65" s="19" t="s">
        <v>123</v>
      </c>
      <c r="E65" s="19">
        <v>41949</v>
      </c>
      <c r="F65" s="86">
        <v>6047.35</v>
      </c>
      <c r="G65" s="86">
        <v>0</v>
      </c>
      <c r="H65" s="86">
        <v>6047.35</v>
      </c>
      <c r="I65" s="86">
        <v>0</v>
      </c>
      <c r="J65" s="86"/>
      <c r="K65" s="86">
        <v>0</v>
      </c>
      <c r="L65" s="86"/>
      <c r="M65" s="18"/>
      <c r="N65" s="26"/>
      <c r="O65" s="83">
        <f t="shared" si="3"/>
        <v>0</v>
      </c>
    </row>
    <row r="66" spans="1:15" x14ac:dyDescent="0.25">
      <c r="A66" s="27"/>
      <c r="B66" s="79" t="s">
        <v>51</v>
      </c>
      <c r="C66" s="23" t="s">
        <v>52</v>
      </c>
      <c r="D66" s="19" t="s">
        <v>143</v>
      </c>
      <c r="E66" s="19">
        <v>41960</v>
      </c>
      <c r="F66" s="86">
        <v>228646.89</v>
      </c>
      <c r="G66" s="86">
        <v>17207.669999999998</v>
      </c>
      <c r="H66" s="86">
        <v>228646.89</v>
      </c>
      <c r="I66" s="86">
        <v>17207.669999999998</v>
      </c>
      <c r="J66" s="86"/>
      <c r="K66" s="86"/>
      <c r="L66" s="86"/>
      <c r="M66" s="86"/>
      <c r="N66" s="26"/>
      <c r="O66" s="83">
        <f t="shared" si="3"/>
        <v>-1.4551915228366852E-11</v>
      </c>
    </row>
    <row r="67" spans="1:15" x14ac:dyDescent="0.25">
      <c r="A67" s="27"/>
      <c r="B67" s="79" t="s">
        <v>12</v>
      </c>
      <c r="C67" s="23" t="s">
        <v>13</v>
      </c>
      <c r="D67" s="19" t="s">
        <v>124</v>
      </c>
      <c r="E67" s="19">
        <v>41950</v>
      </c>
      <c r="F67" s="86">
        <v>43003.82</v>
      </c>
      <c r="G67" s="86">
        <v>10215.39</v>
      </c>
      <c r="H67" s="86">
        <v>43003.82</v>
      </c>
      <c r="I67" s="86">
        <v>6450.57</v>
      </c>
      <c r="J67" s="86"/>
      <c r="K67" s="86">
        <f>G67-I67</f>
        <v>3764.8199999999997</v>
      </c>
      <c r="L67" s="86"/>
      <c r="M67" s="86"/>
      <c r="N67" s="26"/>
      <c r="O67" s="83">
        <f t="shared" si="3"/>
        <v>0</v>
      </c>
    </row>
    <row r="68" spans="1:15" x14ac:dyDescent="0.25">
      <c r="A68" s="27"/>
      <c r="B68" s="79" t="s">
        <v>18</v>
      </c>
      <c r="C68" s="23" t="s">
        <v>19</v>
      </c>
      <c r="D68" s="19" t="s">
        <v>124</v>
      </c>
      <c r="E68" s="19">
        <v>41963</v>
      </c>
      <c r="F68" s="86">
        <v>61825.09</v>
      </c>
      <c r="G68" s="86">
        <v>16976.25</v>
      </c>
      <c r="H68" s="86">
        <v>61825.09</v>
      </c>
      <c r="I68" s="86">
        <v>9273.76</v>
      </c>
      <c r="J68" s="86"/>
      <c r="K68" s="86">
        <f>G68-I68</f>
        <v>7702.49</v>
      </c>
      <c r="L68" s="86"/>
      <c r="M68" s="86"/>
      <c r="N68" s="26"/>
      <c r="O68" s="83">
        <f t="shared" ref="O68:O99" si="4">(F68+G68)-H68-I68-J68-K68-L68-M68-N68</f>
        <v>0</v>
      </c>
    </row>
    <row r="69" spans="1:15" x14ac:dyDescent="0.25">
      <c r="A69" s="27"/>
      <c r="B69" s="79" t="s">
        <v>81</v>
      </c>
      <c r="C69" s="23" t="s">
        <v>89</v>
      </c>
      <c r="D69" s="19" t="s">
        <v>124</v>
      </c>
      <c r="E69" s="19">
        <v>41968</v>
      </c>
      <c r="F69" s="86">
        <v>43370.94</v>
      </c>
      <c r="G69" s="86">
        <v>0</v>
      </c>
      <c r="H69" s="84">
        <v>43370.94</v>
      </c>
      <c r="I69" s="86">
        <v>0</v>
      </c>
      <c r="J69" s="86"/>
      <c r="K69" s="86">
        <f>G69-I69</f>
        <v>0</v>
      </c>
      <c r="L69" s="86"/>
      <c r="M69" s="18"/>
      <c r="N69" s="26"/>
      <c r="O69" s="83">
        <f t="shared" si="4"/>
        <v>0</v>
      </c>
    </row>
    <row r="70" spans="1:15" x14ac:dyDescent="0.25">
      <c r="A70" s="27"/>
      <c r="B70" s="79" t="s">
        <v>49</v>
      </c>
      <c r="C70" s="23" t="s">
        <v>50</v>
      </c>
      <c r="D70" s="19" t="s">
        <v>124</v>
      </c>
      <c r="E70" s="19">
        <v>41969</v>
      </c>
      <c r="F70" s="86">
        <v>12453.52</v>
      </c>
      <c r="G70" s="86">
        <v>929.5</v>
      </c>
      <c r="H70" s="86">
        <v>12453.52</v>
      </c>
      <c r="I70" s="86">
        <v>929.5</v>
      </c>
      <c r="J70" s="86"/>
      <c r="K70" s="86">
        <f>G70-I70</f>
        <v>0</v>
      </c>
      <c r="L70" s="86"/>
      <c r="M70" s="86"/>
      <c r="N70" s="26"/>
      <c r="O70" s="83">
        <f t="shared" si="4"/>
        <v>0</v>
      </c>
    </row>
    <row r="71" spans="1:15" x14ac:dyDescent="0.25">
      <c r="A71" s="27"/>
      <c r="B71" s="79" t="s">
        <v>83</v>
      </c>
      <c r="C71" s="23" t="s">
        <v>91</v>
      </c>
      <c r="D71" s="19" t="s">
        <v>124</v>
      </c>
      <c r="E71" s="19">
        <v>41971</v>
      </c>
      <c r="F71" s="86">
        <v>12408.68</v>
      </c>
      <c r="G71" s="86">
        <v>0</v>
      </c>
      <c r="H71" s="86">
        <v>12408.68</v>
      </c>
      <c r="I71" s="86">
        <v>0</v>
      </c>
      <c r="J71" s="86"/>
      <c r="K71" s="86">
        <v>0</v>
      </c>
      <c r="L71" s="86"/>
      <c r="M71" s="86"/>
      <c r="N71" s="26"/>
      <c r="O71" s="83">
        <f t="shared" si="4"/>
        <v>0</v>
      </c>
    </row>
    <row r="72" spans="1:15" x14ac:dyDescent="0.25">
      <c r="A72" s="27"/>
      <c r="B72" s="79" t="s">
        <v>79</v>
      </c>
      <c r="C72" s="23" t="s">
        <v>87</v>
      </c>
      <c r="D72" s="19" t="s">
        <v>124</v>
      </c>
      <c r="E72" s="19">
        <v>41975</v>
      </c>
      <c r="F72" s="86">
        <v>10125.540000000001</v>
      </c>
      <c r="G72" s="86">
        <v>3701.98</v>
      </c>
      <c r="H72" s="86">
        <v>10125.540000000001</v>
      </c>
      <c r="I72" s="86">
        <v>1518.83</v>
      </c>
      <c r="J72" s="86"/>
      <c r="K72" s="86">
        <f>G72-I72</f>
        <v>2183.15</v>
      </c>
      <c r="L72" s="86"/>
      <c r="M72" s="18"/>
      <c r="N72" s="26"/>
      <c r="O72" s="83">
        <f t="shared" si="4"/>
        <v>-4.5474735088646412E-13</v>
      </c>
    </row>
    <row r="73" spans="1:15" x14ac:dyDescent="0.25">
      <c r="A73" s="27"/>
      <c r="B73" s="79" t="s">
        <v>76</v>
      </c>
      <c r="C73" s="23" t="s">
        <v>77</v>
      </c>
      <c r="D73" s="19" t="s">
        <v>124</v>
      </c>
      <c r="E73" s="19">
        <v>41969</v>
      </c>
      <c r="F73" s="86">
        <v>9620.7800000000007</v>
      </c>
      <c r="G73" s="86">
        <v>585</v>
      </c>
      <c r="H73" s="86">
        <v>9620.7800000000007</v>
      </c>
      <c r="I73" s="86">
        <v>585</v>
      </c>
      <c r="J73" s="86"/>
      <c r="K73" s="86">
        <v>0</v>
      </c>
      <c r="L73" s="86"/>
      <c r="M73" s="86"/>
      <c r="N73" s="26"/>
      <c r="O73" s="83">
        <f t="shared" si="4"/>
        <v>0</v>
      </c>
    </row>
    <row r="74" spans="1:15" x14ac:dyDescent="0.25">
      <c r="A74" s="27"/>
      <c r="B74" s="79" t="s">
        <v>47</v>
      </c>
      <c r="C74" s="23" t="s">
        <v>48</v>
      </c>
      <c r="D74" s="19" t="s">
        <v>124</v>
      </c>
      <c r="E74" s="19">
        <v>41947</v>
      </c>
      <c r="F74" s="86">
        <v>3609.4</v>
      </c>
      <c r="G74" s="86">
        <v>833</v>
      </c>
      <c r="H74" s="86">
        <v>3609.4</v>
      </c>
      <c r="I74" s="86">
        <v>541.41</v>
      </c>
      <c r="J74" s="86"/>
      <c r="K74" s="86">
        <f>G74-I74</f>
        <v>291.59000000000003</v>
      </c>
      <c r="L74" s="86"/>
      <c r="M74" s="86"/>
      <c r="N74" s="26"/>
      <c r="O74" s="83">
        <f t="shared" si="4"/>
        <v>-4.5474735088646412E-13</v>
      </c>
    </row>
    <row r="75" spans="1:15" x14ac:dyDescent="0.25">
      <c r="A75" s="27"/>
      <c r="B75" s="79" t="s">
        <v>81</v>
      </c>
      <c r="C75" s="23" t="s">
        <v>89</v>
      </c>
      <c r="D75" s="19" t="s">
        <v>125</v>
      </c>
      <c r="E75" s="19">
        <v>41984</v>
      </c>
      <c r="F75" s="86">
        <v>7819.67</v>
      </c>
      <c r="G75" s="86">
        <v>0</v>
      </c>
      <c r="H75" s="86">
        <v>7819.67</v>
      </c>
      <c r="I75" s="86">
        <v>0</v>
      </c>
      <c r="J75" s="86"/>
      <c r="K75" s="86">
        <v>0</v>
      </c>
      <c r="L75" s="86"/>
      <c r="M75" s="86"/>
      <c r="N75" s="26"/>
      <c r="O75" s="83">
        <f t="shared" si="4"/>
        <v>0</v>
      </c>
    </row>
    <row r="76" spans="1:15" x14ac:dyDescent="0.25">
      <c r="A76" s="27"/>
      <c r="B76" s="79" t="s">
        <v>76</v>
      </c>
      <c r="C76" s="23" t="s">
        <v>77</v>
      </c>
      <c r="D76" s="19" t="s">
        <v>125</v>
      </c>
      <c r="E76" s="19">
        <v>41984</v>
      </c>
      <c r="F76" s="86">
        <v>2977.23</v>
      </c>
      <c r="G76" s="86">
        <v>663</v>
      </c>
      <c r="H76" s="86">
        <v>2977.23</v>
      </c>
      <c r="I76" s="86">
        <v>663</v>
      </c>
      <c r="J76" s="86"/>
      <c r="K76" s="86">
        <f>G76-I76</f>
        <v>0</v>
      </c>
      <c r="L76" s="86"/>
      <c r="M76" s="86"/>
      <c r="N76" s="26"/>
      <c r="O76" s="83">
        <f t="shared" si="4"/>
        <v>0</v>
      </c>
    </row>
    <row r="77" spans="1:15" x14ac:dyDescent="0.25">
      <c r="A77" s="27"/>
      <c r="B77" s="79" t="s">
        <v>12</v>
      </c>
      <c r="C77" s="23" t="s">
        <v>13</v>
      </c>
      <c r="D77" s="19" t="s">
        <v>125</v>
      </c>
      <c r="E77" s="19">
        <v>41995</v>
      </c>
      <c r="F77" s="86">
        <v>15967.66</v>
      </c>
      <c r="G77" s="86">
        <v>7415.56</v>
      </c>
      <c r="H77" s="86">
        <v>15967.66</v>
      </c>
      <c r="I77" s="86">
        <v>2395.15</v>
      </c>
      <c r="J77" s="86"/>
      <c r="K77" s="86">
        <f>G77-I77</f>
        <v>5020.41</v>
      </c>
      <c r="L77" s="86"/>
      <c r="M77" s="18"/>
      <c r="N77" s="26"/>
      <c r="O77" s="83">
        <f t="shared" si="4"/>
        <v>1.8189894035458565E-12</v>
      </c>
    </row>
    <row r="78" spans="1:15" x14ac:dyDescent="0.25">
      <c r="A78" s="27"/>
      <c r="B78" s="79" t="s">
        <v>18</v>
      </c>
      <c r="C78" s="23" t="s">
        <v>19</v>
      </c>
      <c r="D78" s="19" t="s">
        <v>125</v>
      </c>
      <c r="E78" s="19">
        <v>41997</v>
      </c>
      <c r="F78" s="86">
        <v>40934.61</v>
      </c>
      <c r="G78" s="86">
        <v>16200</v>
      </c>
      <c r="H78" s="86">
        <v>40934.61</v>
      </c>
      <c r="I78" s="86">
        <v>6140.19</v>
      </c>
      <c r="J78" s="86"/>
      <c r="K78" s="86">
        <f>G78-I78</f>
        <v>10059.810000000001</v>
      </c>
      <c r="L78" s="86"/>
      <c r="M78" s="18"/>
      <c r="N78" s="26"/>
      <c r="O78" s="83">
        <f t="shared" si="4"/>
        <v>0</v>
      </c>
    </row>
    <row r="79" spans="1:15" x14ac:dyDescent="0.25">
      <c r="A79" s="27"/>
      <c r="B79" s="79" t="s">
        <v>49</v>
      </c>
      <c r="C79" s="23" t="s">
        <v>50</v>
      </c>
      <c r="D79" s="19" t="s">
        <v>125</v>
      </c>
      <c r="E79" s="19">
        <v>42004</v>
      </c>
      <c r="F79" s="86">
        <v>13939.75</v>
      </c>
      <c r="G79" s="86">
        <v>934.76</v>
      </c>
      <c r="H79" s="86">
        <v>13939.75</v>
      </c>
      <c r="I79" s="86">
        <v>934.76</v>
      </c>
      <c r="J79" s="86"/>
      <c r="K79" s="86">
        <f>G79-I79</f>
        <v>0</v>
      </c>
      <c r="L79" s="86"/>
      <c r="M79" s="18"/>
      <c r="N79" s="26"/>
      <c r="O79" s="83">
        <f t="shared" si="4"/>
        <v>2.2737367544323206E-13</v>
      </c>
    </row>
    <row r="80" spans="1:15" x14ac:dyDescent="0.25">
      <c r="A80" s="27"/>
      <c r="B80" s="79" t="s">
        <v>79</v>
      </c>
      <c r="C80" s="23" t="s">
        <v>87</v>
      </c>
      <c r="D80" s="19" t="s">
        <v>125</v>
      </c>
      <c r="E80" s="19">
        <v>42006</v>
      </c>
      <c r="F80" s="86">
        <v>5815.81</v>
      </c>
      <c r="G80" s="86">
        <v>2597.48</v>
      </c>
      <c r="H80" s="86">
        <v>5815.81</v>
      </c>
      <c r="I80" s="86">
        <v>872.37</v>
      </c>
      <c r="J80" s="86"/>
      <c r="K80" s="86">
        <f>G80-I80</f>
        <v>1725.1100000000001</v>
      </c>
      <c r="L80" s="86"/>
      <c r="M80" s="18"/>
      <c r="N80" s="26"/>
      <c r="O80" s="83">
        <f t="shared" si="4"/>
        <v>4.5474735088646412E-13</v>
      </c>
    </row>
    <row r="81" spans="1:15" x14ac:dyDescent="0.25">
      <c r="A81" s="27"/>
      <c r="B81" s="79" t="s">
        <v>83</v>
      </c>
      <c r="C81" s="23" t="s">
        <v>91</v>
      </c>
      <c r="D81" s="19" t="s">
        <v>125</v>
      </c>
      <c r="E81" s="19">
        <v>42004</v>
      </c>
      <c r="F81" s="86">
        <v>4500.3</v>
      </c>
      <c r="G81" s="86">
        <v>0</v>
      </c>
      <c r="H81" s="86">
        <v>4500.3</v>
      </c>
      <c r="I81" s="86">
        <v>0</v>
      </c>
      <c r="J81" s="86"/>
      <c r="K81" s="86">
        <v>0</v>
      </c>
      <c r="L81" s="86"/>
      <c r="M81" s="18"/>
      <c r="N81" s="26"/>
      <c r="O81" s="83">
        <f t="shared" si="4"/>
        <v>0</v>
      </c>
    </row>
    <row r="82" spans="1:15" x14ac:dyDescent="0.25">
      <c r="A82" s="27"/>
      <c r="B82" s="79" t="s">
        <v>81</v>
      </c>
      <c r="C82" s="23" t="s">
        <v>89</v>
      </c>
      <c r="D82" s="19" t="s">
        <v>126</v>
      </c>
      <c r="E82" s="19">
        <v>42010</v>
      </c>
      <c r="F82" s="86">
        <v>3110.2</v>
      </c>
      <c r="G82" s="86">
        <v>0</v>
      </c>
      <c r="H82" s="84">
        <v>3110.2</v>
      </c>
      <c r="I82" s="86">
        <v>0</v>
      </c>
      <c r="J82" s="86"/>
      <c r="K82" s="86">
        <v>0</v>
      </c>
      <c r="L82" s="86"/>
      <c r="M82" s="18"/>
      <c r="N82" s="26"/>
      <c r="O82" s="83">
        <f t="shared" si="4"/>
        <v>0</v>
      </c>
    </row>
    <row r="83" spans="1:15" x14ac:dyDescent="0.25">
      <c r="A83" s="27"/>
      <c r="B83" s="79" t="s">
        <v>16</v>
      </c>
      <c r="C83" s="23" t="s">
        <v>17</v>
      </c>
      <c r="D83" s="19" t="s">
        <v>147</v>
      </c>
      <c r="E83" s="19">
        <v>42020</v>
      </c>
      <c r="F83" s="86">
        <v>20158.39</v>
      </c>
      <c r="G83" s="86">
        <v>3975</v>
      </c>
      <c r="H83" s="86">
        <v>20158.39</v>
      </c>
      <c r="I83" s="86">
        <v>3975</v>
      </c>
      <c r="J83" s="86"/>
      <c r="K83" s="86">
        <f t="shared" ref="K83:K91" si="5">G83-I83</f>
        <v>0</v>
      </c>
      <c r="L83" s="86"/>
      <c r="M83" s="18"/>
      <c r="N83" s="26"/>
      <c r="O83" s="83">
        <f t="shared" si="4"/>
        <v>0</v>
      </c>
    </row>
    <row r="84" spans="1:15" x14ac:dyDescent="0.25">
      <c r="A84" s="27"/>
      <c r="B84" s="79" t="s">
        <v>45</v>
      </c>
      <c r="C84" s="23" t="s">
        <v>46</v>
      </c>
      <c r="D84" s="19" t="s">
        <v>147</v>
      </c>
      <c r="E84" s="19">
        <v>42020</v>
      </c>
      <c r="F84" s="86">
        <v>3794.45</v>
      </c>
      <c r="G84" s="86">
        <v>807.5</v>
      </c>
      <c r="H84" s="86">
        <v>3794.45</v>
      </c>
      <c r="I84" s="86">
        <v>807.5</v>
      </c>
      <c r="J84" s="86"/>
      <c r="K84" s="86">
        <f t="shared" si="5"/>
        <v>0</v>
      </c>
      <c r="L84" s="86"/>
      <c r="M84" s="18"/>
      <c r="N84" s="26"/>
      <c r="O84" s="83">
        <f t="shared" si="4"/>
        <v>0</v>
      </c>
    </row>
    <row r="85" spans="1:15" x14ac:dyDescent="0.25">
      <c r="A85" s="27"/>
      <c r="B85" s="79" t="s">
        <v>62</v>
      </c>
      <c r="C85" s="23" t="s">
        <v>63</v>
      </c>
      <c r="D85" s="19" t="s">
        <v>147</v>
      </c>
      <c r="E85" s="19">
        <v>42024</v>
      </c>
      <c r="F85" s="86">
        <v>93267.6</v>
      </c>
      <c r="G85" s="86">
        <v>46233.72</v>
      </c>
      <c r="H85" s="86">
        <v>93267.6</v>
      </c>
      <c r="I85" s="86">
        <v>13990.14</v>
      </c>
      <c r="J85" s="86"/>
      <c r="K85" s="86">
        <f t="shared" si="5"/>
        <v>32243.58</v>
      </c>
      <c r="L85" s="86"/>
      <c r="M85" s="18"/>
      <c r="N85" s="26"/>
      <c r="O85" s="83">
        <f t="shared" si="4"/>
        <v>0</v>
      </c>
    </row>
    <row r="86" spans="1:15" x14ac:dyDescent="0.25">
      <c r="A86" s="27"/>
      <c r="B86" s="79" t="s">
        <v>62</v>
      </c>
      <c r="C86" s="23" t="s">
        <v>36</v>
      </c>
      <c r="D86" s="19" t="s">
        <v>147</v>
      </c>
      <c r="E86" s="19">
        <v>42024</v>
      </c>
      <c r="F86" s="86">
        <v>3744.77</v>
      </c>
      <c r="G86" s="86">
        <v>11545.38</v>
      </c>
      <c r="H86" s="86">
        <v>3744.77</v>
      </c>
      <c r="I86" s="86">
        <v>561.72</v>
      </c>
      <c r="J86" s="86"/>
      <c r="K86" s="86">
        <f t="shared" si="5"/>
        <v>10983.66</v>
      </c>
      <c r="L86" s="86"/>
      <c r="M86" s="18"/>
      <c r="N86" s="26"/>
      <c r="O86" s="83">
        <f t="shared" si="4"/>
        <v>0</v>
      </c>
    </row>
    <row r="87" spans="1:15" x14ac:dyDescent="0.25">
      <c r="A87" s="27"/>
      <c r="B87" s="79" t="s">
        <v>20</v>
      </c>
      <c r="C87" s="23" t="s">
        <v>21</v>
      </c>
      <c r="D87" s="19" t="s">
        <v>147</v>
      </c>
      <c r="E87" s="19">
        <v>42026</v>
      </c>
      <c r="F87" s="86">
        <v>74961.23</v>
      </c>
      <c r="G87" s="86">
        <v>7937.07</v>
      </c>
      <c r="H87" s="86">
        <v>74686.23</v>
      </c>
      <c r="I87" s="86">
        <v>7937.07</v>
      </c>
      <c r="J87" s="86"/>
      <c r="K87" s="86">
        <f t="shared" si="5"/>
        <v>0</v>
      </c>
      <c r="L87" s="86"/>
      <c r="M87" s="18"/>
      <c r="N87" s="26">
        <v>275</v>
      </c>
      <c r="O87" s="83">
        <f t="shared" si="4"/>
        <v>-7.2759576141834259E-12</v>
      </c>
    </row>
    <row r="88" spans="1:15" x14ac:dyDescent="0.25">
      <c r="A88" s="27"/>
      <c r="B88" s="79" t="s">
        <v>76</v>
      </c>
      <c r="C88" s="23" t="s">
        <v>77</v>
      </c>
      <c r="D88" s="19" t="s">
        <v>126</v>
      </c>
      <c r="E88" s="19">
        <v>42027</v>
      </c>
      <c r="F88" s="86">
        <v>1361.95</v>
      </c>
      <c r="G88" s="86">
        <v>438.75</v>
      </c>
      <c r="H88" s="86">
        <v>1361.95</v>
      </c>
      <c r="I88" s="86">
        <v>438.75</v>
      </c>
      <c r="J88" s="86"/>
      <c r="K88" s="86">
        <f t="shared" si="5"/>
        <v>0</v>
      </c>
      <c r="L88" s="86"/>
      <c r="M88" s="18"/>
      <c r="N88" s="26"/>
      <c r="O88" s="83">
        <f t="shared" si="4"/>
        <v>0</v>
      </c>
    </row>
    <row r="89" spans="1:15" x14ac:dyDescent="0.25">
      <c r="A89" s="27"/>
      <c r="B89" s="112" t="s">
        <v>22</v>
      </c>
      <c r="C89" s="23" t="s">
        <v>23</v>
      </c>
      <c r="D89" s="19" t="s">
        <v>147</v>
      </c>
      <c r="E89" s="19">
        <v>42030</v>
      </c>
      <c r="F89" s="86">
        <v>10090.15</v>
      </c>
      <c r="G89" s="86">
        <v>1100</v>
      </c>
      <c r="H89" s="86">
        <v>10090.15</v>
      </c>
      <c r="I89" s="86">
        <v>1100</v>
      </c>
      <c r="J89" s="86"/>
      <c r="K89" s="86">
        <f t="shared" si="5"/>
        <v>0</v>
      </c>
      <c r="L89" s="86"/>
      <c r="M89" s="18"/>
      <c r="N89" s="26"/>
      <c r="O89" s="83">
        <f t="shared" si="4"/>
        <v>0</v>
      </c>
    </row>
    <row r="90" spans="1:15" x14ac:dyDescent="0.25">
      <c r="A90" s="27"/>
      <c r="B90" s="79" t="s">
        <v>37</v>
      </c>
      <c r="C90" s="23" t="s">
        <v>38</v>
      </c>
      <c r="D90" s="19" t="s">
        <v>147</v>
      </c>
      <c r="E90" s="19">
        <v>42030</v>
      </c>
      <c r="F90" s="86">
        <v>8771.2800000000007</v>
      </c>
      <c r="G90" s="86">
        <v>100</v>
      </c>
      <c r="H90" s="84">
        <v>8771.2800000000007</v>
      </c>
      <c r="I90" s="86">
        <v>100</v>
      </c>
      <c r="J90" s="86"/>
      <c r="K90" s="86">
        <f t="shared" si="5"/>
        <v>0</v>
      </c>
      <c r="L90" s="86"/>
      <c r="M90" s="18"/>
      <c r="N90" s="26"/>
      <c r="O90" s="83">
        <f t="shared" si="4"/>
        <v>0</v>
      </c>
    </row>
    <row r="91" spans="1:15" x14ac:dyDescent="0.25">
      <c r="A91" s="27"/>
      <c r="B91" s="79" t="s">
        <v>120</v>
      </c>
      <c r="C91" s="23" t="s">
        <v>68</v>
      </c>
      <c r="D91" s="19" t="s">
        <v>147</v>
      </c>
      <c r="E91" s="19">
        <v>42026</v>
      </c>
      <c r="F91" s="86">
        <v>12109.49</v>
      </c>
      <c r="G91" s="86">
        <v>1449.38</v>
      </c>
      <c r="H91" s="86">
        <v>12109.49</v>
      </c>
      <c r="I91" s="86">
        <v>1449.38</v>
      </c>
      <c r="J91" s="86"/>
      <c r="K91" s="86">
        <f t="shared" si="5"/>
        <v>0</v>
      </c>
      <c r="L91" s="86"/>
      <c r="M91" s="18"/>
      <c r="N91" s="26"/>
      <c r="O91" s="83">
        <f t="shared" si="4"/>
        <v>-9.0949470177292824E-13</v>
      </c>
    </row>
    <row r="92" spans="1:15" x14ac:dyDescent="0.25">
      <c r="A92" s="27"/>
      <c r="B92" s="79" t="s">
        <v>53</v>
      </c>
      <c r="C92" s="23" t="s">
        <v>54</v>
      </c>
      <c r="D92" s="19" t="s">
        <v>147</v>
      </c>
      <c r="E92" s="19">
        <v>42027</v>
      </c>
      <c r="F92" s="86">
        <v>4089.99</v>
      </c>
      <c r="G92" s="86">
        <v>837.83</v>
      </c>
      <c r="H92" s="86">
        <v>4089.99</v>
      </c>
      <c r="I92" s="86">
        <v>837.83</v>
      </c>
      <c r="J92" s="86"/>
      <c r="K92" s="86"/>
      <c r="L92" s="86"/>
      <c r="M92" s="18"/>
      <c r="N92" s="26"/>
      <c r="O92" s="83">
        <f t="shared" si="4"/>
        <v>-1.1368683772161603E-13</v>
      </c>
    </row>
    <row r="93" spans="1:15" x14ac:dyDescent="0.25">
      <c r="A93" s="27"/>
      <c r="B93" s="79" t="s">
        <v>32</v>
      </c>
      <c r="C93" s="23" t="s">
        <v>33</v>
      </c>
      <c r="D93" s="19" t="s">
        <v>147</v>
      </c>
      <c r="E93" s="19">
        <v>42031</v>
      </c>
      <c r="F93" s="86">
        <v>21012.240000000002</v>
      </c>
      <c r="G93" s="86">
        <v>2414.37</v>
      </c>
      <c r="H93" s="86">
        <v>20512.240000000002</v>
      </c>
      <c r="I93" s="86">
        <v>2414.37</v>
      </c>
      <c r="J93" s="86"/>
      <c r="K93" s="86">
        <f t="shared" ref="K93:K120" si="6">G93-I93</f>
        <v>0</v>
      </c>
      <c r="L93" s="86"/>
      <c r="M93" s="18"/>
      <c r="N93" s="26">
        <v>500</v>
      </c>
      <c r="O93" s="83">
        <f t="shared" si="4"/>
        <v>-9.0949470177292824E-13</v>
      </c>
    </row>
    <row r="94" spans="1:15" x14ac:dyDescent="0.25">
      <c r="A94" s="27"/>
      <c r="B94" s="79" t="s">
        <v>64</v>
      </c>
      <c r="C94" s="23" t="s">
        <v>65</v>
      </c>
      <c r="D94" s="19" t="s">
        <v>147</v>
      </c>
      <c r="E94" s="19">
        <v>42032</v>
      </c>
      <c r="F94" s="86">
        <v>9544.6299999999992</v>
      </c>
      <c r="G94" s="86">
        <v>1431.72</v>
      </c>
      <c r="H94" s="86">
        <v>9544.6299999999992</v>
      </c>
      <c r="I94" s="86">
        <v>1431.72</v>
      </c>
      <c r="J94" s="86"/>
      <c r="K94" s="86">
        <f t="shared" si="6"/>
        <v>0</v>
      </c>
      <c r="L94" s="86"/>
      <c r="M94" s="86"/>
      <c r="N94" s="26"/>
      <c r="O94" s="83">
        <f t="shared" si="4"/>
        <v>-6.8212102632969618E-13</v>
      </c>
    </row>
    <row r="95" spans="1:15" x14ac:dyDescent="0.25">
      <c r="A95" s="27"/>
      <c r="B95" s="79" t="s">
        <v>60</v>
      </c>
      <c r="C95" s="23" t="s">
        <v>61</v>
      </c>
      <c r="D95" s="19" t="s">
        <v>147</v>
      </c>
      <c r="E95" s="19">
        <v>42033</v>
      </c>
      <c r="F95" s="86">
        <v>3017.89</v>
      </c>
      <c r="G95" s="86">
        <v>331.99</v>
      </c>
      <c r="H95" s="86">
        <v>3017.89</v>
      </c>
      <c r="I95" s="86">
        <v>331.99</v>
      </c>
      <c r="J95" s="86"/>
      <c r="K95" s="86">
        <f t="shared" si="6"/>
        <v>0</v>
      </c>
      <c r="L95" s="86"/>
      <c r="M95" s="18"/>
      <c r="N95" s="26"/>
      <c r="O95" s="83">
        <f t="shared" si="4"/>
        <v>2.2737367544323206E-13</v>
      </c>
    </row>
    <row r="96" spans="1:15" x14ac:dyDescent="0.25">
      <c r="A96" s="27"/>
      <c r="B96" s="79" t="s">
        <v>6</v>
      </c>
      <c r="C96" s="23" t="s">
        <v>25</v>
      </c>
      <c r="D96" s="19" t="s">
        <v>147</v>
      </c>
      <c r="E96" s="19">
        <v>42033</v>
      </c>
      <c r="F96" s="86">
        <v>9015.1200000000008</v>
      </c>
      <c r="G96" s="86">
        <v>2056.41</v>
      </c>
      <c r="H96" s="86">
        <v>9015.1200000000008</v>
      </c>
      <c r="I96" s="86">
        <v>2056.41</v>
      </c>
      <c r="J96" s="86"/>
      <c r="K96" s="86">
        <f t="shared" si="6"/>
        <v>0</v>
      </c>
      <c r="L96" s="86"/>
      <c r="M96" s="18"/>
      <c r="N96" s="26"/>
      <c r="O96" s="83">
        <f t="shared" si="4"/>
        <v>0</v>
      </c>
    </row>
    <row r="97" spans="1:15" x14ac:dyDescent="0.25">
      <c r="A97" s="27"/>
      <c r="B97" s="79" t="s">
        <v>6</v>
      </c>
      <c r="C97" s="23" t="s">
        <v>8</v>
      </c>
      <c r="D97" s="19" t="s">
        <v>147</v>
      </c>
      <c r="E97" s="19">
        <v>42033</v>
      </c>
      <c r="F97" s="86">
        <v>54431.33</v>
      </c>
      <c r="G97" s="86">
        <v>4977.3900000000003</v>
      </c>
      <c r="H97" s="86">
        <v>54431.33</v>
      </c>
      <c r="I97" s="86">
        <v>4977.3900000000003</v>
      </c>
      <c r="J97" s="86"/>
      <c r="K97" s="86">
        <f t="shared" si="6"/>
        <v>0</v>
      </c>
      <c r="L97" s="86"/>
      <c r="M97" s="18"/>
      <c r="N97" s="26"/>
      <c r="O97" s="83">
        <f t="shared" si="4"/>
        <v>-9.0949470177292824E-13</v>
      </c>
    </row>
    <row r="98" spans="1:15" x14ac:dyDescent="0.25">
      <c r="A98" s="27"/>
      <c r="B98" s="79" t="s">
        <v>6</v>
      </c>
      <c r="C98" s="23" t="s">
        <v>7</v>
      </c>
      <c r="D98" s="19" t="s">
        <v>147</v>
      </c>
      <c r="E98" s="19">
        <v>42033</v>
      </c>
      <c r="F98" s="86">
        <v>29452.33</v>
      </c>
      <c r="G98" s="86">
        <v>4011.66</v>
      </c>
      <c r="H98" s="86">
        <v>29452.33</v>
      </c>
      <c r="I98" s="86">
        <v>4011.66</v>
      </c>
      <c r="J98" s="86"/>
      <c r="K98" s="86">
        <f t="shared" si="6"/>
        <v>0</v>
      </c>
      <c r="L98" s="86"/>
      <c r="M98" s="18"/>
      <c r="N98" s="26"/>
      <c r="O98" s="83">
        <f t="shared" si="4"/>
        <v>3.637978807091713E-12</v>
      </c>
    </row>
    <row r="99" spans="1:15" x14ac:dyDescent="0.25">
      <c r="A99" s="27"/>
      <c r="B99" s="79" t="s">
        <v>6</v>
      </c>
      <c r="C99" s="23" t="s">
        <v>9</v>
      </c>
      <c r="D99" s="19" t="s">
        <v>147</v>
      </c>
      <c r="E99" s="19">
        <v>42033</v>
      </c>
      <c r="F99" s="86">
        <v>35315.620000000003</v>
      </c>
      <c r="G99" s="86">
        <v>4953.43</v>
      </c>
      <c r="H99" s="86">
        <v>35315.620000000003</v>
      </c>
      <c r="I99" s="86">
        <v>4953.43</v>
      </c>
      <c r="J99" s="86"/>
      <c r="K99" s="86">
        <f t="shared" si="6"/>
        <v>0</v>
      </c>
      <c r="L99" s="86"/>
      <c r="M99" s="18"/>
      <c r="N99" s="26"/>
      <c r="O99" s="83">
        <f t="shared" si="4"/>
        <v>0</v>
      </c>
    </row>
    <row r="100" spans="1:15" x14ac:dyDescent="0.25">
      <c r="A100" s="27"/>
      <c r="B100" s="79" t="s">
        <v>6</v>
      </c>
      <c r="C100" s="23" t="s">
        <v>26</v>
      </c>
      <c r="D100" s="19" t="s">
        <v>147</v>
      </c>
      <c r="E100" s="19">
        <v>42033</v>
      </c>
      <c r="F100" s="86">
        <v>12947.57</v>
      </c>
      <c r="G100" s="86">
        <v>1499.6</v>
      </c>
      <c r="H100" s="86">
        <v>12947.57</v>
      </c>
      <c r="I100" s="86">
        <v>1499.6</v>
      </c>
      <c r="J100" s="86"/>
      <c r="K100" s="86">
        <f t="shared" si="6"/>
        <v>0</v>
      </c>
      <c r="L100" s="86"/>
      <c r="M100" s="18"/>
      <c r="N100" s="26"/>
      <c r="O100" s="83">
        <f t="shared" ref="O100:O131" si="7">(F100+G100)-H100-I100-J100-K100-L100-M100-N100</f>
        <v>4.5474735088646412E-13</v>
      </c>
    </row>
    <row r="101" spans="1:15" x14ac:dyDescent="0.25">
      <c r="A101" s="27"/>
      <c r="B101" s="79" t="s">
        <v>6</v>
      </c>
      <c r="C101" s="23" t="s">
        <v>27</v>
      </c>
      <c r="D101" s="19" t="s">
        <v>147</v>
      </c>
      <c r="E101" s="19">
        <v>42033</v>
      </c>
      <c r="F101" s="86">
        <v>21357.58</v>
      </c>
      <c r="G101" s="86">
        <v>1978.65</v>
      </c>
      <c r="H101" s="86">
        <v>21357.58</v>
      </c>
      <c r="I101" s="86">
        <v>1978.65</v>
      </c>
      <c r="J101" s="86"/>
      <c r="K101" s="86">
        <f t="shared" si="6"/>
        <v>0</v>
      </c>
      <c r="L101" s="86"/>
      <c r="M101" s="18"/>
      <c r="N101" s="26"/>
      <c r="O101" s="83">
        <f t="shared" si="7"/>
        <v>1.3642420526593924E-12</v>
      </c>
    </row>
    <row r="102" spans="1:15" x14ac:dyDescent="0.25">
      <c r="A102" s="27"/>
      <c r="B102" s="79" t="s">
        <v>6</v>
      </c>
      <c r="C102" s="23" t="s">
        <v>28</v>
      </c>
      <c r="D102" s="19" t="s">
        <v>147</v>
      </c>
      <c r="E102" s="19">
        <v>42033</v>
      </c>
      <c r="F102" s="86">
        <v>14485.79</v>
      </c>
      <c r="G102" s="86">
        <v>1515.86</v>
      </c>
      <c r="H102" s="86">
        <v>14485.79</v>
      </c>
      <c r="I102" s="86">
        <v>1515.86</v>
      </c>
      <c r="J102" s="86"/>
      <c r="K102" s="86">
        <f t="shared" si="6"/>
        <v>0</v>
      </c>
      <c r="L102" s="86"/>
      <c r="M102" s="18"/>
      <c r="N102" s="26"/>
      <c r="O102" s="83">
        <f t="shared" si="7"/>
        <v>6.8212102632969618E-13</v>
      </c>
    </row>
    <row r="103" spans="1:15" x14ac:dyDescent="0.25">
      <c r="A103" s="27"/>
      <c r="B103" s="79" t="s">
        <v>6</v>
      </c>
      <c r="C103" s="23" t="s">
        <v>10</v>
      </c>
      <c r="D103" s="19" t="s">
        <v>147</v>
      </c>
      <c r="E103" s="19">
        <v>42033</v>
      </c>
      <c r="F103" s="86">
        <v>24048.45</v>
      </c>
      <c r="G103" s="86">
        <v>3182.66</v>
      </c>
      <c r="H103" s="84">
        <v>24048.45</v>
      </c>
      <c r="I103" s="86">
        <v>3182.66</v>
      </c>
      <c r="J103" s="86"/>
      <c r="K103" s="86">
        <f t="shared" si="6"/>
        <v>0</v>
      </c>
      <c r="L103" s="86"/>
      <c r="M103" s="18"/>
      <c r="N103" s="26"/>
      <c r="O103" s="83">
        <f t="shared" si="7"/>
        <v>0</v>
      </c>
    </row>
    <row r="104" spans="1:15" x14ac:dyDescent="0.25">
      <c r="A104" s="27"/>
      <c r="B104" s="79" t="s">
        <v>6</v>
      </c>
      <c r="C104" s="23" t="s">
        <v>11</v>
      </c>
      <c r="D104" s="19" t="s">
        <v>147</v>
      </c>
      <c r="E104" s="19">
        <v>42033</v>
      </c>
      <c r="F104" s="86">
        <v>130906.18</v>
      </c>
      <c r="G104" s="86">
        <v>12785</v>
      </c>
      <c r="H104" s="86">
        <v>130906.18</v>
      </c>
      <c r="I104" s="86">
        <v>12785</v>
      </c>
      <c r="J104" s="86"/>
      <c r="K104" s="86">
        <f t="shared" si="6"/>
        <v>0</v>
      </c>
      <c r="L104" s="86"/>
      <c r="M104" s="18"/>
      <c r="N104" s="26"/>
      <c r="O104" s="83">
        <f t="shared" si="7"/>
        <v>0</v>
      </c>
    </row>
    <row r="105" spans="1:15" x14ac:dyDescent="0.25">
      <c r="A105" s="27"/>
      <c r="B105" s="79" t="s">
        <v>6</v>
      </c>
      <c r="C105" s="23" t="s">
        <v>29</v>
      </c>
      <c r="D105" s="19" t="s">
        <v>147</v>
      </c>
      <c r="E105" s="19">
        <v>42033</v>
      </c>
      <c r="F105" s="86">
        <v>13359.71</v>
      </c>
      <c r="G105" s="86">
        <v>1875.25</v>
      </c>
      <c r="H105" s="86">
        <v>13359.71</v>
      </c>
      <c r="I105" s="86">
        <v>1875.25</v>
      </c>
      <c r="J105" s="86"/>
      <c r="K105" s="86">
        <f t="shared" si="6"/>
        <v>0</v>
      </c>
      <c r="L105" s="86"/>
      <c r="M105" s="18"/>
      <c r="N105" s="26"/>
      <c r="O105" s="83">
        <f t="shared" si="7"/>
        <v>0</v>
      </c>
    </row>
    <row r="106" spans="1:15" x14ac:dyDescent="0.25">
      <c r="A106" s="27"/>
      <c r="B106" s="79" t="s">
        <v>6</v>
      </c>
      <c r="C106" s="23" t="s">
        <v>30</v>
      </c>
      <c r="D106" s="19" t="s">
        <v>147</v>
      </c>
      <c r="E106" s="19">
        <v>42033</v>
      </c>
      <c r="F106" s="86">
        <v>7750</v>
      </c>
      <c r="G106" s="86">
        <v>2454.46</v>
      </c>
      <c r="H106" s="86">
        <v>7750</v>
      </c>
      <c r="I106" s="86">
        <v>2447.81</v>
      </c>
      <c r="J106" s="86"/>
      <c r="K106" s="86">
        <f t="shared" si="6"/>
        <v>6.6500000000000909</v>
      </c>
      <c r="L106" s="86"/>
      <c r="M106" s="18"/>
      <c r="N106" s="26"/>
      <c r="O106" s="83">
        <f t="shared" si="7"/>
        <v>-9.0949470177292824E-13</v>
      </c>
    </row>
    <row r="107" spans="1:15" x14ac:dyDescent="0.25">
      <c r="A107" s="27"/>
      <c r="B107" s="79" t="s">
        <v>6</v>
      </c>
      <c r="C107" s="23" t="s">
        <v>31</v>
      </c>
      <c r="D107" s="19" t="s">
        <v>147</v>
      </c>
      <c r="E107" s="19">
        <v>42033</v>
      </c>
      <c r="F107" s="86">
        <v>2897.93</v>
      </c>
      <c r="G107" s="86">
        <v>1092.78</v>
      </c>
      <c r="H107" s="86">
        <v>2897.93</v>
      </c>
      <c r="I107" s="86">
        <v>1092.78</v>
      </c>
      <c r="J107" s="86"/>
      <c r="K107" s="86">
        <f t="shared" si="6"/>
        <v>0</v>
      </c>
      <c r="L107" s="86"/>
      <c r="M107" s="18"/>
      <c r="N107" s="26"/>
      <c r="O107" s="83">
        <f t="shared" si="7"/>
        <v>2.2737367544323206E-13</v>
      </c>
    </row>
    <row r="108" spans="1:15" x14ac:dyDescent="0.25">
      <c r="A108" s="27"/>
      <c r="B108" s="79" t="s">
        <v>6</v>
      </c>
      <c r="C108" s="23" t="s">
        <v>73</v>
      </c>
      <c r="D108" s="19" t="s">
        <v>147</v>
      </c>
      <c r="E108" s="19">
        <v>42033</v>
      </c>
      <c r="F108" s="86">
        <v>16721.52</v>
      </c>
      <c r="G108" s="86">
        <v>2085.15</v>
      </c>
      <c r="H108" s="86">
        <v>16721.52</v>
      </c>
      <c r="I108" s="86">
        <v>2085.15</v>
      </c>
      <c r="J108" s="86"/>
      <c r="K108" s="86">
        <f t="shared" si="6"/>
        <v>0</v>
      </c>
      <c r="L108" s="86"/>
      <c r="M108" s="18"/>
      <c r="N108" s="26"/>
      <c r="O108" s="83">
        <f t="shared" si="7"/>
        <v>1.3642420526593924E-12</v>
      </c>
    </row>
    <row r="109" spans="1:15" x14ac:dyDescent="0.25">
      <c r="A109" s="27"/>
      <c r="B109" s="79" t="s">
        <v>6</v>
      </c>
      <c r="C109" s="23" t="s">
        <v>15</v>
      </c>
      <c r="D109" s="19" t="s">
        <v>147</v>
      </c>
      <c r="E109" s="19">
        <v>42033</v>
      </c>
      <c r="F109" s="86">
        <v>16180.82</v>
      </c>
      <c r="G109" s="86">
        <v>2384.1799999999998</v>
      </c>
      <c r="H109" s="86">
        <v>16180.82</v>
      </c>
      <c r="I109" s="86">
        <v>2384.1799999999998</v>
      </c>
      <c r="J109" s="86"/>
      <c r="K109" s="86">
        <f t="shared" si="6"/>
        <v>0</v>
      </c>
      <c r="L109" s="86"/>
      <c r="M109" s="18"/>
      <c r="N109" s="26"/>
      <c r="O109" s="83">
        <f t="shared" si="7"/>
        <v>4.5474735088646412E-13</v>
      </c>
    </row>
    <row r="110" spans="1:15" x14ac:dyDescent="0.25">
      <c r="A110" s="27"/>
      <c r="B110" s="79" t="s">
        <v>6</v>
      </c>
      <c r="C110" s="23" t="s">
        <v>24</v>
      </c>
      <c r="D110" s="19" t="s">
        <v>147</v>
      </c>
      <c r="E110" s="19">
        <v>42033</v>
      </c>
      <c r="F110" s="86">
        <v>7306.74</v>
      </c>
      <c r="G110" s="86">
        <v>1325.66</v>
      </c>
      <c r="H110" s="86">
        <v>7306.74</v>
      </c>
      <c r="I110" s="86">
        <v>1325.66</v>
      </c>
      <c r="J110" s="86"/>
      <c r="K110" s="86">
        <f t="shared" si="6"/>
        <v>0</v>
      </c>
      <c r="L110" s="86"/>
      <c r="M110" s="18"/>
      <c r="N110" s="26"/>
      <c r="O110" s="83">
        <f t="shared" si="7"/>
        <v>-2.2737367544323206E-13</v>
      </c>
    </row>
    <row r="111" spans="1:15" x14ac:dyDescent="0.25">
      <c r="A111" s="27"/>
      <c r="B111" s="79" t="s">
        <v>6</v>
      </c>
      <c r="C111" s="23" t="s">
        <v>55</v>
      </c>
      <c r="D111" s="19" t="s">
        <v>147</v>
      </c>
      <c r="E111" s="19">
        <v>42033</v>
      </c>
      <c r="F111" s="86">
        <v>24747.279999999999</v>
      </c>
      <c r="G111" s="86">
        <v>3568.63</v>
      </c>
      <c r="H111" s="86">
        <v>24747.279999999999</v>
      </c>
      <c r="I111" s="86">
        <v>3568.63</v>
      </c>
      <c r="J111" s="86"/>
      <c r="K111" s="86">
        <f t="shared" si="6"/>
        <v>0</v>
      </c>
      <c r="L111" s="86"/>
      <c r="M111" s="18"/>
      <c r="N111" s="26"/>
      <c r="O111" s="83">
        <f t="shared" si="7"/>
        <v>9.0949470177292824E-13</v>
      </c>
    </row>
    <row r="112" spans="1:15" x14ac:dyDescent="0.25">
      <c r="A112" s="27"/>
      <c r="B112" s="79" t="s">
        <v>6</v>
      </c>
      <c r="C112" s="23" t="s">
        <v>14</v>
      </c>
      <c r="D112" s="19" t="s">
        <v>147</v>
      </c>
      <c r="E112" s="19">
        <v>42033</v>
      </c>
      <c r="F112" s="86">
        <v>39526.79</v>
      </c>
      <c r="G112" s="86">
        <v>3053.58</v>
      </c>
      <c r="H112" s="86">
        <v>39526.79</v>
      </c>
      <c r="I112" s="86">
        <v>3053.58</v>
      </c>
      <c r="J112" s="86"/>
      <c r="K112" s="86">
        <f t="shared" si="6"/>
        <v>0</v>
      </c>
      <c r="L112" s="86"/>
      <c r="M112" s="18"/>
      <c r="N112" s="26"/>
      <c r="O112" s="83">
        <f t="shared" si="7"/>
        <v>1.8189894035458565E-12</v>
      </c>
    </row>
    <row r="113" spans="1:15" x14ac:dyDescent="0.25">
      <c r="A113" s="27"/>
      <c r="B113" s="79" t="s">
        <v>6</v>
      </c>
      <c r="C113" s="23" t="s">
        <v>88</v>
      </c>
      <c r="D113" s="19" t="s">
        <v>147</v>
      </c>
      <c r="E113" s="19">
        <v>42033</v>
      </c>
      <c r="F113" s="86">
        <v>29353.88</v>
      </c>
      <c r="G113" s="86">
        <v>4429.8999999999996</v>
      </c>
      <c r="H113" s="86">
        <v>29353.88</v>
      </c>
      <c r="I113" s="86">
        <v>4403.08</v>
      </c>
      <c r="J113" s="86"/>
      <c r="K113" s="86">
        <f t="shared" si="6"/>
        <v>26.819999999999709</v>
      </c>
      <c r="L113" s="86"/>
      <c r="M113" s="18"/>
      <c r="N113" s="26"/>
      <c r="O113" s="83">
        <f t="shared" si="7"/>
        <v>-1.8189894035458565E-12</v>
      </c>
    </row>
    <row r="114" spans="1:15" x14ac:dyDescent="0.25">
      <c r="A114" s="27"/>
      <c r="B114" s="79" t="s">
        <v>56</v>
      </c>
      <c r="C114" s="23" t="s">
        <v>57</v>
      </c>
      <c r="D114" s="19" t="s">
        <v>147</v>
      </c>
      <c r="E114" s="19">
        <v>42033</v>
      </c>
      <c r="F114" s="86">
        <v>46521.31</v>
      </c>
      <c r="G114" s="86">
        <v>3860.69</v>
      </c>
      <c r="H114" s="86">
        <v>46521.31</v>
      </c>
      <c r="I114" s="86">
        <v>3860.69</v>
      </c>
      <c r="J114" s="86"/>
      <c r="K114" s="86">
        <f t="shared" si="6"/>
        <v>0</v>
      </c>
      <c r="L114" s="86"/>
      <c r="M114" s="18"/>
      <c r="N114" s="26"/>
      <c r="O114" s="83">
        <f t="shared" si="7"/>
        <v>2.2737367544323206E-12</v>
      </c>
    </row>
    <row r="115" spans="1:15" x14ac:dyDescent="0.25">
      <c r="A115" s="27"/>
      <c r="B115" s="79" t="s">
        <v>69</v>
      </c>
      <c r="C115" s="23" t="s">
        <v>70</v>
      </c>
      <c r="D115" s="19" t="s">
        <v>147</v>
      </c>
      <c r="E115" s="19">
        <v>42033</v>
      </c>
      <c r="F115" s="86">
        <v>9787.91</v>
      </c>
      <c r="G115" s="86">
        <v>1468.22</v>
      </c>
      <c r="H115" s="86">
        <v>9787.91</v>
      </c>
      <c r="I115" s="86">
        <v>1468.21</v>
      </c>
      <c r="J115" s="86"/>
      <c r="K115" s="86">
        <f t="shared" si="6"/>
        <v>9.9999999999909051E-3</v>
      </c>
      <c r="L115" s="86"/>
      <c r="M115" s="18"/>
      <c r="N115" s="26"/>
      <c r="O115" s="83">
        <f t="shared" si="7"/>
        <v>-6.8212102632969618E-13</v>
      </c>
    </row>
    <row r="116" spans="1:15" x14ac:dyDescent="0.25">
      <c r="A116" s="27"/>
      <c r="B116" s="79" t="s">
        <v>66</v>
      </c>
      <c r="C116" s="23" t="s">
        <v>67</v>
      </c>
      <c r="D116" s="19" t="s">
        <v>147</v>
      </c>
      <c r="E116" s="19">
        <v>42034</v>
      </c>
      <c r="F116" s="86">
        <v>59550.98</v>
      </c>
      <c r="G116" s="86">
        <v>5539.88</v>
      </c>
      <c r="H116" s="86">
        <v>59550.98</v>
      </c>
      <c r="I116" s="84">
        <v>5539.88</v>
      </c>
      <c r="J116" s="86"/>
      <c r="K116" s="86">
        <f t="shared" si="6"/>
        <v>0</v>
      </c>
      <c r="L116" s="86"/>
      <c r="M116" s="18"/>
      <c r="N116" s="26"/>
      <c r="O116" s="83">
        <f t="shared" si="7"/>
        <v>-2.7284841053187847E-12</v>
      </c>
    </row>
    <row r="117" spans="1:15" x14ac:dyDescent="0.25">
      <c r="A117" s="27"/>
      <c r="B117" s="79" t="s">
        <v>149</v>
      </c>
      <c r="C117" s="23" t="s">
        <v>72</v>
      </c>
      <c r="D117" s="19" t="s">
        <v>150</v>
      </c>
      <c r="E117" s="19">
        <v>42034</v>
      </c>
      <c r="F117" s="86">
        <v>62792.4</v>
      </c>
      <c r="G117" s="86">
        <v>8274.07</v>
      </c>
      <c r="H117" s="86">
        <v>62792.4</v>
      </c>
      <c r="I117" s="86">
        <v>8274.07</v>
      </c>
      <c r="J117" s="86"/>
      <c r="K117" s="86">
        <f t="shared" si="6"/>
        <v>0</v>
      </c>
      <c r="L117" s="86"/>
      <c r="M117" s="18"/>
      <c r="N117" s="26"/>
      <c r="O117" s="83">
        <f t="shared" si="7"/>
        <v>0</v>
      </c>
    </row>
    <row r="118" spans="1:15" x14ac:dyDescent="0.25">
      <c r="A118" s="27"/>
      <c r="B118" s="79" t="s">
        <v>78</v>
      </c>
      <c r="C118" s="23" t="s">
        <v>86</v>
      </c>
      <c r="D118" s="19" t="s">
        <v>147</v>
      </c>
      <c r="E118" s="19">
        <v>42033</v>
      </c>
      <c r="F118" s="86">
        <v>40747.550000000003</v>
      </c>
      <c r="G118" s="86">
        <v>3252.15</v>
      </c>
      <c r="H118" s="86">
        <v>40747.550000000003</v>
      </c>
      <c r="I118" s="86">
        <v>3252.15</v>
      </c>
      <c r="J118" s="86"/>
      <c r="K118" s="86">
        <f t="shared" si="6"/>
        <v>0</v>
      </c>
      <c r="L118" s="86"/>
      <c r="M118" s="18"/>
      <c r="N118" s="26"/>
      <c r="O118" s="83">
        <f t="shared" si="7"/>
        <v>1.3642420526593924E-12</v>
      </c>
    </row>
    <row r="119" spans="1:15" x14ac:dyDescent="0.25">
      <c r="A119" s="27"/>
      <c r="B119" s="79" t="s">
        <v>39</v>
      </c>
      <c r="C119" s="23" t="s">
        <v>40</v>
      </c>
      <c r="D119" s="19" t="s">
        <v>147</v>
      </c>
      <c r="E119" s="19">
        <v>42033</v>
      </c>
      <c r="F119" s="86">
        <v>14988.9</v>
      </c>
      <c r="G119" s="86">
        <v>294</v>
      </c>
      <c r="H119" s="86">
        <v>14988.9</v>
      </c>
      <c r="I119" s="86">
        <v>294</v>
      </c>
      <c r="J119" s="86"/>
      <c r="K119" s="86">
        <f t="shared" si="6"/>
        <v>0</v>
      </c>
      <c r="L119" s="86"/>
      <c r="M119" s="18"/>
      <c r="N119" s="26"/>
      <c r="O119" s="83">
        <f t="shared" si="7"/>
        <v>0</v>
      </c>
    </row>
    <row r="120" spans="1:15" x14ac:dyDescent="0.25">
      <c r="A120" s="27"/>
      <c r="B120" s="79" t="s">
        <v>43</v>
      </c>
      <c r="C120" s="23" t="s">
        <v>44</v>
      </c>
      <c r="D120" s="19" t="s">
        <v>150</v>
      </c>
      <c r="E120" s="19">
        <v>42034</v>
      </c>
      <c r="F120" s="86">
        <v>57036.59</v>
      </c>
      <c r="G120" s="86">
        <v>8394.36</v>
      </c>
      <c r="H120" s="86">
        <v>57036.59</v>
      </c>
      <c r="I120" s="84">
        <v>8394.36</v>
      </c>
      <c r="J120" s="86"/>
      <c r="K120" s="86">
        <f t="shared" si="6"/>
        <v>0</v>
      </c>
      <c r="L120" s="86"/>
      <c r="M120" s="18"/>
      <c r="N120" s="26"/>
      <c r="O120" s="83">
        <f t="shared" si="7"/>
        <v>0</v>
      </c>
    </row>
    <row r="121" spans="1:15" x14ac:dyDescent="0.25">
      <c r="A121" s="27"/>
      <c r="B121" s="79" t="s">
        <v>83</v>
      </c>
      <c r="C121" s="23" t="s">
        <v>91</v>
      </c>
      <c r="D121" s="19" t="s">
        <v>126</v>
      </c>
      <c r="E121" s="19">
        <v>42034</v>
      </c>
      <c r="F121" s="86">
        <v>28305.52</v>
      </c>
      <c r="G121" s="86">
        <v>0</v>
      </c>
      <c r="H121" s="86">
        <v>28305.52</v>
      </c>
      <c r="I121" s="86">
        <v>0</v>
      </c>
      <c r="J121" s="86"/>
      <c r="K121" s="86">
        <v>0</v>
      </c>
      <c r="L121" s="86"/>
      <c r="M121" s="18"/>
      <c r="N121" s="26"/>
      <c r="O121" s="83">
        <f t="shared" si="7"/>
        <v>0</v>
      </c>
    </row>
    <row r="122" spans="1:15" x14ac:dyDescent="0.25">
      <c r="A122" s="27"/>
      <c r="B122" s="79" t="s">
        <v>84</v>
      </c>
      <c r="C122" s="23" t="s">
        <v>92</v>
      </c>
      <c r="D122" s="19" t="s">
        <v>150</v>
      </c>
      <c r="E122" s="19">
        <v>42034</v>
      </c>
      <c r="F122" s="86">
        <v>118268.7</v>
      </c>
      <c r="G122" s="86">
        <v>5189.6099999999997</v>
      </c>
      <c r="H122" s="86">
        <v>118166.29</v>
      </c>
      <c r="I122" s="86">
        <v>5189.6099999999997</v>
      </c>
      <c r="J122" s="86"/>
      <c r="K122" s="86"/>
      <c r="L122" s="86"/>
      <c r="M122" s="18"/>
      <c r="N122" s="26">
        <v>102.41</v>
      </c>
      <c r="O122" s="83">
        <f t="shared" si="7"/>
        <v>4.4053649617126212E-12</v>
      </c>
    </row>
    <row r="123" spans="1:15" x14ac:dyDescent="0.25">
      <c r="A123" s="27"/>
      <c r="B123" s="79" t="s">
        <v>49</v>
      </c>
      <c r="C123" s="23" t="s">
        <v>50</v>
      </c>
      <c r="D123" s="19" t="s">
        <v>126</v>
      </c>
      <c r="E123" s="19">
        <v>42035</v>
      </c>
      <c r="F123" s="86">
        <v>7934.73</v>
      </c>
      <c r="G123" s="86">
        <v>1461.43</v>
      </c>
      <c r="H123" s="86">
        <v>7934.73</v>
      </c>
      <c r="I123" s="86">
        <v>1461.43</v>
      </c>
      <c r="J123" s="86"/>
      <c r="K123" s="86">
        <f>G123-I123</f>
        <v>0</v>
      </c>
      <c r="L123" s="86"/>
      <c r="M123" s="18"/>
      <c r="N123" s="26"/>
      <c r="O123" s="83">
        <f t="shared" si="7"/>
        <v>2.2737367544323206E-13</v>
      </c>
    </row>
    <row r="124" spans="1:15" x14ac:dyDescent="0.25">
      <c r="A124" s="27"/>
      <c r="B124" s="79" t="s">
        <v>18</v>
      </c>
      <c r="C124" s="23" t="s">
        <v>19</v>
      </c>
      <c r="D124" s="19" t="s">
        <v>126</v>
      </c>
      <c r="E124" s="19">
        <v>42034</v>
      </c>
      <c r="F124" s="86">
        <v>31963.32</v>
      </c>
      <c r="G124" s="86">
        <v>14850</v>
      </c>
      <c r="H124" s="86">
        <v>31963.32</v>
      </c>
      <c r="I124" s="86">
        <v>4794.5</v>
      </c>
      <c r="J124" s="86"/>
      <c r="K124" s="86">
        <f>G124-I124</f>
        <v>10055.5</v>
      </c>
      <c r="L124" s="86"/>
      <c r="M124" s="18"/>
      <c r="N124" s="26"/>
      <c r="O124" s="83">
        <f t="shared" si="7"/>
        <v>0</v>
      </c>
    </row>
    <row r="125" spans="1:15" x14ac:dyDescent="0.25">
      <c r="A125" s="27"/>
      <c r="B125" s="79" t="s">
        <v>82</v>
      </c>
      <c r="C125" s="23" t="s">
        <v>90</v>
      </c>
      <c r="D125" s="19" t="s">
        <v>150</v>
      </c>
      <c r="E125" s="19">
        <v>42033</v>
      </c>
      <c r="F125" s="86">
        <v>9565.08</v>
      </c>
      <c r="G125" s="86">
        <v>2042.82</v>
      </c>
      <c r="H125" s="84">
        <v>9565.08</v>
      </c>
      <c r="I125" s="86">
        <v>2042.82</v>
      </c>
      <c r="J125" s="86"/>
      <c r="K125" s="86">
        <f>G125-I125</f>
        <v>0</v>
      </c>
      <c r="L125" s="86"/>
      <c r="M125" s="18"/>
      <c r="N125" s="26"/>
      <c r="O125" s="83">
        <f t="shared" si="7"/>
        <v>-2.2737367544323206E-13</v>
      </c>
    </row>
    <row r="126" spans="1:15" x14ac:dyDescent="0.25">
      <c r="A126" s="27"/>
      <c r="B126" s="79" t="s">
        <v>51</v>
      </c>
      <c r="C126" s="23" t="s">
        <v>52</v>
      </c>
      <c r="D126" s="19" t="s">
        <v>147</v>
      </c>
      <c r="E126" s="19">
        <v>42037</v>
      </c>
      <c r="F126" s="86">
        <v>226053.94</v>
      </c>
      <c r="G126" s="86">
        <v>25521</v>
      </c>
      <c r="H126" s="86">
        <v>226053.94</v>
      </c>
      <c r="I126" s="86">
        <v>25521</v>
      </c>
      <c r="J126" s="86"/>
      <c r="K126" s="86"/>
      <c r="L126" s="86"/>
      <c r="M126" s="18"/>
      <c r="N126" s="26"/>
      <c r="O126" s="83">
        <f t="shared" si="7"/>
        <v>0</v>
      </c>
    </row>
    <row r="127" spans="1:15" x14ac:dyDescent="0.25">
      <c r="A127" s="27"/>
      <c r="B127" s="79" t="s">
        <v>79</v>
      </c>
      <c r="C127" s="23" t="s">
        <v>87</v>
      </c>
      <c r="D127" s="19" t="s">
        <v>126</v>
      </c>
      <c r="E127" s="19">
        <v>42039</v>
      </c>
      <c r="F127" s="86">
        <v>6985.14</v>
      </c>
      <c r="G127" s="86">
        <v>2821.28</v>
      </c>
      <c r="H127" s="86">
        <v>6985.14</v>
      </c>
      <c r="I127" s="86">
        <v>1047.77</v>
      </c>
      <c r="J127" s="86"/>
      <c r="K127" s="86">
        <f>G127-I127</f>
        <v>1773.5100000000002</v>
      </c>
      <c r="L127" s="86"/>
      <c r="M127" s="18"/>
      <c r="N127" s="26"/>
      <c r="O127" s="83">
        <f t="shared" si="7"/>
        <v>-4.5474735088646412E-13</v>
      </c>
    </row>
    <row r="128" spans="1:15" x14ac:dyDescent="0.25">
      <c r="A128" s="27"/>
      <c r="B128" s="79" t="s">
        <v>58</v>
      </c>
      <c r="C128" s="23" t="s">
        <v>59</v>
      </c>
      <c r="D128" s="19" t="s">
        <v>150</v>
      </c>
      <c r="E128" s="19">
        <v>42040</v>
      </c>
      <c r="F128" s="86">
        <v>117000.49</v>
      </c>
      <c r="G128" s="86">
        <v>15141.98</v>
      </c>
      <c r="H128" s="86">
        <v>117000.49</v>
      </c>
      <c r="I128" s="86">
        <v>15141.98</v>
      </c>
      <c r="J128" s="86"/>
      <c r="K128" s="86"/>
      <c r="L128" s="86"/>
      <c r="M128" s="18"/>
      <c r="N128" s="26"/>
      <c r="O128" s="83">
        <f t="shared" si="7"/>
        <v>-3.637978807091713E-12</v>
      </c>
    </row>
    <row r="129" spans="1:15" x14ac:dyDescent="0.25">
      <c r="A129" s="27"/>
      <c r="B129" s="79" t="s">
        <v>74</v>
      </c>
      <c r="C129" s="23" t="s">
        <v>75</v>
      </c>
      <c r="D129" s="19" t="s">
        <v>147</v>
      </c>
      <c r="E129" s="19">
        <v>42039</v>
      </c>
      <c r="F129" s="86">
        <v>14006.11</v>
      </c>
      <c r="G129" s="86">
        <v>8625.56</v>
      </c>
      <c r="H129" s="86">
        <v>14006.11</v>
      </c>
      <c r="I129" s="86">
        <v>2100.92</v>
      </c>
      <c r="J129" s="86"/>
      <c r="K129" s="86">
        <f>G129-I129</f>
        <v>6524.6399999999994</v>
      </c>
      <c r="L129" s="86"/>
      <c r="M129" s="18"/>
      <c r="N129" s="26"/>
      <c r="O129" s="83">
        <f t="shared" si="7"/>
        <v>-1.8189894035458565E-12</v>
      </c>
    </row>
    <row r="130" spans="1:15" x14ac:dyDescent="0.25">
      <c r="A130" s="27"/>
      <c r="B130" s="79" t="s">
        <v>12</v>
      </c>
      <c r="C130" s="23" t="s">
        <v>13</v>
      </c>
      <c r="D130" s="19" t="s">
        <v>126</v>
      </c>
      <c r="E130" s="19">
        <v>42045</v>
      </c>
      <c r="F130" s="86">
        <v>37024.36</v>
      </c>
      <c r="G130" s="86">
        <v>6498.33</v>
      </c>
      <c r="H130" s="86">
        <v>37024.36</v>
      </c>
      <c r="I130" s="86">
        <v>5553.65</v>
      </c>
      <c r="J130" s="86"/>
      <c r="K130" s="86">
        <f>G130-I130</f>
        <v>944.68000000000029</v>
      </c>
      <c r="L130" s="86"/>
      <c r="M130" s="18"/>
      <c r="N130" s="26"/>
      <c r="O130" s="83">
        <f t="shared" si="7"/>
        <v>1.8189894035458565E-12</v>
      </c>
    </row>
    <row r="131" spans="1:15" x14ac:dyDescent="0.25">
      <c r="A131" s="27"/>
      <c r="B131" s="79" t="s">
        <v>47</v>
      </c>
      <c r="C131" s="23" t="s">
        <v>48</v>
      </c>
      <c r="D131" s="19" t="s">
        <v>125</v>
      </c>
      <c r="E131" s="19">
        <v>42052</v>
      </c>
      <c r="F131" s="86">
        <v>8698.61</v>
      </c>
      <c r="G131" s="86">
        <v>783.5</v>
      </c>
      <c r="H131" s="86">
        <v>8698.61</v>
      </c>
      <c r="I131" s="86">
        <v>783.5</v>
      </c>
      <c r="J131" s="86"/>
      <c r="K131" s="86">
        <f>G131-I131</f>
        <v>0</v>
      </c>
      <c r="L131" s="86"/>
      <c r="M131" s="18"/>
      <c r="N131" s="26"/>
      <c r="O131" s="83">
        <f t="shared" si="7"/>
        <v>0</v>
      </c>
    </row>
    <row r="132" spans="1:15" x14ac:dyDescent="0.25">
      <c r="A132" s="27"/>
      <c r="B132" s="79" t="s">
        <v>83</v>
      </c>
      <c r="C132" s="23" t="s">
        <v>91</v>
      </c>
      <c r="D132" s="19" t="s">
        <v>127</v>
      </c>
      <c r="E132" s="19">
        <v>42055</v>
      </c>
      <c r="F132" s="86">
        <v>6537.6</v>
      </c>
      <c r="G132" s="86">
        <v>0</v>
      </c>
      <c r="H132" s="86">
        <v>6537.6</v>
      </c>
      <c r="I132" s="86">
        <v>0</v>
      </c>
      <c r="J132" s="86"/>
      <c r="K132" s="86">
        <v>0</v>
      </c>
      <c r="L132" s="86"/>
      <c r="M132" s="18"/>
      <c r="N132" s="26"/>
      <c r="O132" s="83">
        <f t="shared" ref="O132:O163" si="8">(F132+G132)-H132-I132-J132-K132-L132-M132-N132</f>
        <v>0</v>
      </c>
    </row>
    <row r="133" spans="1:15" x14ac:dyDescent="0.25">
      <c r="A133" s="27"/>
      <c r="B133" s="79" t="s">
        <v>81</v>
      </c>
      <c r="C133" s="23" t="s">
        <v>89</v>
      </c>
      <c r="D133" s="19" t="s">
        <v>127</v>
      </c>
      <c r="E133" s="19">
        <v>42055</v>
      </c>
      <c r="F133" s="86">
        <v>299.60000000000002</v>
      </c>
      <c r="G133" s="86">
        <v>0</v>
      </c>
      <c r="H133" s="86">
        <v>299.60000000000002</v>
      </c>
      <c r="I133" s="86">
        <v>0</v>
      </c>
      <c r="J133" s="86"/>
      <c r="K133" s="86">
        <v>0</v>
      </c>
      <c r="L133" s="86"/>
      <c r="M133" s="18"/>
      <c r="N133" s="26"/>
      <c r="O133" s="83">
        <f t="shared" si="8"/>
        <v>0</v>
      </c>
    </row>
    <row r="134" spans="1:15" x14ac:dyDescent="0.25">
      <c r="A134" s="27"/>
      <c r="B134" s="79" t="s">
        <v>76</v>
      </c>
      <c r="C134" s="23" t="s">
        <v>77</v>
      </c>
      <c r="D134" s="19" t="s">
        <v>127</v>
      </c>
      <c r="E134" s="19">
        <v>42060</v>
      </c>
      <c r="F134" s="86">
        <v>4321.7</v>
      </c>
      <c r="G134" s="86">
        <v>778.74</v>
      </c>
      <c r="H134" s="86">
        <v>4321.7</v>
      </c>
      <c r="I134" s="86">
        <v>778.74</v>
      </c>
      <c r="J134" s="86"/>
      <c r="K134" s="86">
        <f t="shared" ref="K134:K142" si="9">G134-I134</f>
        <v>0</v>
      </c>
      <c r="L134" s="86"/>
      <c r="M134" s="18"/>
      <c r="N134" s="26"/>
      <c r="O134" s="83">
        <f t="shared" si="8"/>
        <v>-2.2737367544323206E-13</v>
      </c>
    </row>
    <row r="135" spans="1:15" x14ac:dyDescent="0.25">
      <c r="A135" s="27"/>
      <c r="B135" s="79" t="s">
        <v>12</v>
      </c>
      <c r="C135" s="23" t="s">
        <v>13</v>
      </c>
      <c r="D135" s="19" t="s">
        <v>127</v>
      </c>
      <c r="E135" s="19">
        <v>42062</v>
      </c>
      <c r="F135" s="86">
        <v>10217.09</v>
      </c>
      <c r="G135" s="86">
        <v>4656.8900000000003</v>
      </c>
      <c r="H135" s="86">
        <v>10217.09</v>
      </c>
      <c r="I135" s="86">
        <v>1532.56</v>
      </c>
      <c r="J135" s="86"/>
      <c r="K135" s="86">
        <f t="shared" si="9"/>
        <v>3124.3300000000004</v>
      </c>
      <c r="L135" s="86"/>
      <c r="M135" s="86"/>
      <c r="N135" s="26"/>
      <c r="O135" s="83">
        <f t="shared" si="8"/>
        <v>-9.0949470177292824E-13</v>
      </c>
    </row>
    <row r="136" spans="1:15" x14ac:dyDescent="0.25">
      <c r="A136" s="27"/>
      <c r="B136" s="79" t="s">
        <v>49</v>
      </c>
      <c r="C136" s="23" t="s">
        <v>50</v>
      </c>
      <c r="D136" s="19" t="s">
        <v>127</v>
      </c>
      <c r="E136" s="19">
        <v>42062</v>
      </c>
      <c r="F136" s="86">
        <v>19100.98</v>
      </c>
      <c r="G136" s="86">
        <v>5347.12</v>
      </c>
      <c r="H136" s="86">
        <v>19100.98</v>
      </c>
      <c r="I136" s="86">
        <v>5347.12</v>
      </c>
      <c r="J136" s="86"/>
      <c r="K136" s="86">
        <f t="shared" si="9"/>
        <v>0</v>
      </c>
      <c r="L136" s="86"/>
      <c r="M136" s="18"/>
      <c r="N136" s="26"/>
      <c r="O136" s="83">
        <f t="shared" si="8"/>
        <v>-9.0949470177292824E-13</v>
      </c>
    </row>
    <row r="137" spans="1:15" x14ac:dyDescent="0.25">
      <c r="A137" s="27"/>
      <c r="B137" s="79" t="s">
        <v>47</v>
      </c>
      <c r="C137" s="23" t="s">
        <v>48</v>
      </c>
      <c r="D137" s="19" t="s">
        <v>126</v>
      </c>
      <c r="E137" s="19">
        <v>42069</v>
      </c>
      <c r="F137" s="86">
        <v>2062.63</v>
      </c>
      <c r="G137" s="86">
        <v>689.78</v>
      </c>
      <c r="H137" s="86">
        <v>2062.63</v>
      </c>
      <c r="I137" s="86">
        <v>422.14</v>
      </c>
      <c r="J137" s="86"/>
      <c r="K137" s="86">
        <f t="shared" si="9"/>
        <v>267.64</v>
      </c>
      <c r="L137" s="86"/>
      <c r="M137" s="18"/>
      <c r="N137" s="26"/>
      <c r="O137" s="83">
        <f t="shared" si="8"/>
        <v>-2.2737367544323206E-13</v>
      </c>
    </row>
    <row r="138" spans="1:15" x14ac:dyDescent="0.25">
      <c r="A138" s="27"/>
      <c r="B138" s="79" t="s">
        <v>18</v>
      </c>
      <c r="C138" s="23" t="s">
        <v>19</v>
      </c>
      <c r="D138" s="19" t="s">
        <v>127</v>
      </c>
      <c r="E138" s="19">
        <v>42061</v>
      </c>
      <c r="F138" s="86">
        <v>29436.03</v>
      </c>
      <c r="G138" s="86">
        <v>18360</v>
      </c>
      <c r="H138" s="86">
        <v>29436.03</v>
      </c>
      <c r="I138" s="86">
        <v>9184.0499999999993</v>
      </c>
      <c r="J138" s="86"/>
      <c r="K138" s="86">
        <f t="shared" si="9"/>
        <v>9175.9500000000007</v>
      </c>
      <c r="L138" s="18"/>
      <c r="M138" s="18"/>
      <c r="N138" s="26"/>
      <c r="O138" s="83">
        <f t="shared" si="8"/>
        <v>0</v>
      </c>
    </row>
    <row r="139" spans="1:15" x14ac:dyDescent="0.25">
      <c r="A139" s="27"/>
      <c r="B139" s="79" t="s">
        <v>79</v>
      </c>
      <c r="C139" s="23" t="s">
        <v>87</v>
      </c>
      <c r="D139" s="19" t="s">
        <v>127</v>
      </c>
      <c r="E139" s="19">
        <v>42076</v>
      </c>
      <c r="F139" s="86">
        <v>4848.54</v>
      </c>
      <c r="G139" s="86">
        <v>2616.8200000000002</v>
      </c>
      <c r="H139" s="86">
        <v>4848.54</v>
      </c>
      <c r="I139" s="86">
        <v>727.28</v>
      </c>
      <c r="J139" s="86"/>
      <c r="K139" s="86">
        <f t="shared" si="9"/>
        <v>1889.5400000000002</v>
      </c>
      <c r="L139" s="18"/>
      <c r="M139" s="18"/>
      <c r="N139" s="26"/>
      <c r="O139" s="83">
        <f t="shared" si="8"/>
        <v>4.5474735088646412E-13</v>
      </c>
    </row>
    <row r="140" spans="1:15" x14ac:dyDescent="0.25">
      <c r="A140" s="27"/>
      <c r="B140" s="79" t="s">
        <v>12</v>
      </c>
      <c r="C140" s="23" t="s">
        <v>13</v>
      </c>
      <c r="D140" s="19" t="s">
        <v>128</v>
      </c>
      <c r="E140" s="19">
        <v>42076</v>
      </c>
      <c r="F140" s="86">
        <v>15613.02</v>
      </c>
      <c r="G140" s="86">
        <v>2981.02</v>
      </c>
      <c r="H140" s="86">
        <v>15613.02</v>
      </c>
      <c r="I140" s="86">
        <v>2341.9499999999998</v>
      </c>
      <c r="J140" s="86"/>
      <c r="K140" s="86">
        <f t="shared" si="9"/>
        <v>639.07000000000016</v>
      </c>
      <c r="L140" s="18"/>
      <c r="M140" s="18"/>
      <c r="N140" s="26"/>
      <c r="O140" s="83">
        <f t="shared" si="8"/>
        <v>4.5474735088646412E-13</v>
      </c>
    </row>
    <row r="141" spans="1:15" x14ac:dyDescent="0.25">
      <c r="A141" s="27"/>
      <c r="B141" s="79" t="s">
        <v>18</v>
      </c>
      <c r="C141" s="23" t="s">
        <v>19</v>
      </c>
      <c r="D141" s="19" t="s">
        <v>128</v>
      </c>
      <c r="E141" s="19">
        <v>42090</v>
      </c>
      <c r="F141" s="86">
        <v>31790.97</v>
      </c>
      <c r="G141" s="86">
        <v>17550</v>
      </c>
      <c r="H141" s="86">
        <v>31790.97</v>
      </c>
      <c r="I141" s="86">
        <v>4768.6499999999996</v>
      </c>
      <c r="J141" s="86"/>
      <c r="K141" s="86">
        <f t="shared" si="9"/>
        <v>12781.35</v>
      </c>
      <c r="L141" s="18"/>
      <c r="M141" s="18"/>
      <c r="N141" s="26"/>
      <c r="O141" s="83">
        <f t="shared" si="8"/>
        <v>0</v>
      </c>
    </row>
    <row r="142" spans="1:15" x14ac:dyDescent="0.25">
      <c r="A142" s="27"/>
      <c r="B142" s="79" t="s">
        <v>76</v>
      </c>
      <c r="C142" s="23" t="s">
        <v>77</v>
      </c>
      <c r="D142" s="19" t="s">
        <v>128</v>
      </c>
      <c r="E142" s="19">
        <v>42094</v>
      </c>
      <c r="F142" s="86">
        <v>3329.81</v>
      </c>
      <c r="G142" s="86">
        <v>216.87</v>
      </c>
      <c r="H142" s="86">
        <v>3329.81</v>
      </c>
      <c r="I142" s="86">
        <v>216.87</v>
      </c>
      <c r="J142" s="86"/>
      <c r="K142" s="86">
        <f t="shared" si="9"/>
        <v>0</v>
      </c>
      <c r="L142" s="18"/>
      <c r="M142" s="18"/>
      <c r="N142" s="26"/>
      <c r="O142" s="83">
        <f t="shared" si="8"/>
        <v>-1.1368683772161603E-13</v>
      </c>
    </row>
    <row r="143" spans="1:15" x14ac:dyDescent="0.25">
      <c r="A143" s="27"/>
      <c r="B143" s="79" t="s">
        <v>41</v>
      </c>
      <c r="C143" s="23" t="s">
        <v>42</v>
      </c>
      <c r="D143" s="19" t="s">
        <v>150</v>
      </c>
      <c r="E143" s="19">
        <v>42095</v>
      </c>
      <c r="F143" s="86">
        <v>56519.92</v>
      </c>
      <c r="G143" s="86">
        <v>1392.39</v>
      </c>
      <c r="H143" s="86">
        <v>56519.92</v>
      </c>
      <c r="I143" s="86">
        <v>1392.39</v>
      </c>
      <c r="J143" s="86"/>
      <c r="K143" s="86"/>
      <c r="L143" s="18"/>
      <c r="M143" s="18"/>
      <c r="N143" s="26"/>
      <c r="O143" s="83">
        <f t="shared" si="8"/>
        <v>-6.8212102632969618E-13</v>
      </c>
    </row>
    <row r="144" spans="1:15" x14ac:dyDescent="0.25">
      <c r="A144" s="27"/>
      <c r="B144" s="79" t="s">
        <v>79</v>
      </c>
      <c r="C144" s="23" t="s">
        <v>87</v>
      </c>
      <c r="D144" s="19" t="s">
        <v>128</v>
      </c>
      <c r="E144" s="19">
        <v>42097</v>
      </c>
      <c r="F144" s="86">
        <v>8095.01</v>
      </c>
      <c r="G144" s="86">
        <v>1875.77</v>
      </c>
      <c r="H144" s="86">
        <v>8095.01</v>
      </c>
      <c r="I144" s="86">
        <v>1214.25</v>
      </c>
      <c r="J144" s="86"/>
      <c r="K144" s="86">
        <f t="shared" ref="K144:K151" si="10">G144-I144</f>
        <v>661.52</v>
      </c>
      <c r="L144" s="18"/>
      <c r="M144" s="18"/>
      <c r="N144" s="26"/>
      <c r="O144" s="83">
        <f t="shared" si="8"/>
        <v>4.5474735088646412E-13</v>
      </c>
    </row>
    <row r="145" spans="1:15" x14ac:dyDescent="0.25">
      <c r="A145" s="27"/>
      <c r="B145" s="79" t="s">
        <v>49</v>
      </c>
      <c r="C145" s="23" t="s">
        <v>50</v>
      </c>
      <c r="D145" s="19" t="s">
        <v>128</v>
      </c>
      <c r="E145" s="19">
        <v>42092</v>
      </c>
      <c r="F145" s="86">
        <v>9344.43</v>
      </c>
      <c r="G145" s="86">
        <v>962.06</v>
      </c>
      <c r="H145" s="86">
        <v>9344.43</v>
      </c>
      <c r="I145" s="86">
        <v>962.06</v>
      </c>
      <c r="J145" s="86"/>
      <c r="K145" s="86">
        <f t="shared" si="10"/>
        <v>0</v>
      </c>
      <c r="L145" s="18"/>
      <c r="M145" s="18"/>
      <c r="N145" s="26"/>
      <c r="O145" s="83">
        <f t="shared" si="8"/>
        <v>-4.5474735088646412E-13</v>
      </c>
    </row>
    <row r="146" spans="1:15" x14ac:dyDescent="0.25">
      <c r="A146" s="27"/>
      <c r="B146" s="79" t="s">
        <v>16</v>
      </c>
      <c r="C146" s="23" t="s">
        <v>17</v>
      </c>
      <c r="D146" s="19" t="s">
        <v>152</v>
      </c>
      <c r="E146" s="19">
        <v>42103</v>
      </c>
      <c r="F146" s="86">
        <v>25844.880000000001</v>
      </c>
      <c r="G146" s="86">
        <v>5725</v>
      </c>
      <c r="H146" s="86">
        <v>25844.880000000001</v>
      </c>
      <c r="I146" s="86">
        <v>4265.95</v>
      </c>
      <c r="J146" s="86"/>
      <c r="K146" s="86">
        <f t="shared" si="10"/>
        <v>1459.0500000000002</v>
      </c>
      <c r="L146" s="18"/>
      <c r="M146" s="18"/>
      <c r="N146" s="26"/>
      <c r="O146" s="83">
        <f t="shared" si="8"/>
        <v>0</v>
      </c>
    </row>
    <row r="147" spans="1:15" x14ac:dyDescent="0.25">
      <c r="A147" s="27"/>
      <c r="B147" s="79" t="s">
        <v>12</v>
      </c>
      <c r="C147" s="23" t="s">
        <v>13</v>
      </c>
      <c r="D147" s="19" t="s">
        <v>129</v>
      </c>
      <c r="E147" s="19">
        <v>42104</v>
      </c>
      <c r="F147" s="86">
        <v>47290.53</v>
      </c>
      <c r="G147" s="86">
        <v>4912.5200000000004</v>
      </c>
      <c r="H147" s="86">
        <v>47290.53</v>
      </c>
      <c r="I147" s="86">
        <v>4912.5200000000004</v>
      </c>
      <c r="J147" s="86"/>
      <c r="K147" s="86">
        <f t="shared" si="10"/>
        <v>0</v>
      </c>
      <c r="L147" s="18"/>
      <c r="M147" s="18"/>
      <c r="N147" s="26"/>
      <c r="O147" s="83">
        <f t="shared" si="8"/>
        <v>3.637978807091713E-12</v>
      </c>
    </row>
    <row r="148" spans="1:15" x14ac:dyDescent="0.25">
      <c r="A148" s="27"/>
      <c r="B148" s="79" t="s">
        <v>47</v>
      </c>
      <c r="C148" s="23" t="s">
        <v>48</v>
      </c>
      <c r="D148" s="19" t="s">
        <v>127</v>
      </c>
      <c r="E148" s="19">
        <v>42104</v>
      </c>
      <c r="F148" s="86">
        <v>455.63</v>
      </c>
      <c r="G148" s="86">
        <v>2892.42</v>
      </c>
      <c r="H148" s="86">
        <v>455.63</v>
      </c>
      <c r="I148" s="86">
        <v>68.34</v>
      </c>
      <c r="J148" s="86"/>
      <c r="K148" s="86">
        <f t="shared" si="10"/>
        <v>2824.08</v>
      </c>
      <c r="L148" s="18"/>
      <c r="M148" s="18"/>
      <c r="N148" s="26"/>
      <c r="O148" s="83">
        <f t="shared" si="8"/>
        <v>0</v>
      </c>
    </row>
    <row r="149" spans="1:15" x14ac:dyDescent="0.25">
      <c r="A149" s="27"/>
      <c r="B149" s="79" t="s">
        <v>47</v>
      </c>
      <c r="C149" s="23" t="s">
        <v>48</v>
      </c>
      <c r="D149" s="19" t="s">
        <v>128</v>
      </c>
      <c r="E149" s="19">
        <v>42104</v>
      </c>
      <c r="F149" s="86">
        <v>441.99</v>
      </c>
      <c r="G149" s="86">
        <v>521.1</v>
      </c>
      <c r="H149" s="86">
        <v>441.99</v>
      </c>
      <c r="I149" s="86">
        <v>66.3</v>
      </c>
      <c r="J149" s="86"/>
      <c r="K149" s="86">
        <f t="shared" si="10"/>
        <v>454.8</v>
      </c>
      <c r="L149" s="18"/>
      <c r="M149" s="18"/>
      <c r="N149" s="26"/>
      <c r="O149" s="83">
        <f t="shared" si="8"/>
        <v>0</v>
      </c>
    </row>
    <row r="150" spans="1:15" x14ac:dyDescent="0.25">
      <c r="A150" s="27"/>
      <c r="B150" s="79" t="s">
        <v>49</v>
      </c>
      <c r="C150" s="23" t="s">
        <v>50</v>
      </c>
      <c r="D150" s="19" t="s">
        <v>129</v>
      </c>
      <c r="E150" s="19">
        <v>42106</v>
      </c>
      <c r="F150" s="86">
        <v>15617.33</v>
      </c>
      <c r="G150" s="86">
        <v>162.97</v>
      </c>
      <c r="H150" s="86">
        <v>15617.33</v>
      </c>
      <c r="I150" s="86">
        <v>162.97</v>
      </c>
      <c r="J150" s="86"/>
      <c r="K150" s="86">
        <f t="shared" si="10"/>
        <v>0</v>
      </c>
      <c r="L150" s="18"/>
      <c r="M150" s="18"/>
      <c r="N150" s="26"/>
      <c r="O150" s="83">
        <f t="shared" si="8"/>
        <v>-6.5369931689929217E-13</v>
      </c>
    </row>
    <row r="151" spans="1:15" x14ac:dyDescent="0.25">
      <c r="A151" s="27"/>
      <c r="B151" s="79" t="s">
        <v>45</v>
      </c>
      <c r="C151" s="23" t="s">
        <v>46</v>
      </c>
      <c r="D151" s="19" t="s">
        <v>152</v>
      </c>
      <c r="E151" s="19">
        <v>42107</v>
      </c>
      <c r="F151" s="86">
        <v>4522.07</v>
      </c>
      <c r="G151" s="86">
        <v>807.5</v>
      </c>
      <c r="H151" s="86">
        <v>4522.07</v>
      </c>
      <c r="I151" s="86">
        <v>715.37</v>
      </c>
      <c r="J151" s="86"/>
      <c r="K151" s="86">
        <f t="shared" si="10"/>
        <v>92.13</v>
      </c>
      <c r="L151" s="18"/>
      <c r="M151" s="18"/>
      <c r="N151" s="26"/>
      <c r="O151" s="83">
        <f t="shared" si="8"/>
        <v>0</v>
      </c>
    </row>
    <row r="152" spans="1:15" x14ac:dyDescent="0.25">
      <c r="A152" s="27"/>
      <c r="B152" s="79" t="s">
        <v>51</v>
      </c>
      <c r="C152" s="23" t="s">
        <v>52</v>
      </c>
      <c r="D152" s="19" t="s">
        <v>152</v>
      </c>
      <c r="E152" s="19">
        <v>42110</v>
      </c>
      <c r="F152" s="86">
        <v>165069.95000000001</v>
      </c>
      <c r="G152" s="86">
        <v>29248.2</v>
      </c>
      <c r="H152" s="86">
        <v>165069.95000000001</v>
      </c>
      <c r="I152" s="86">
        <v>29248.2</v>
      </c>
      <c r="J152" s="86"/>
      <c r="K152" s="86"/>
      <c r="L152" s="18"/>
      <c r="M152" s="18"/>
      <c r="N152" s="26"/>
      <c r="O152" s="83">
        <f t="shared" si="8"/>
        <v>1.0913936421275139E-11</v>
      </c>
    </row>
    <row r="153" spans="1:15" x14ac:dyDescent="0.25">
      <c r="A153" s="27"/>
      <c r="B153" s="79" t="s">
        <v>62</v>
      </c>
      <c r="C153" s="23" t="s">
        <v>63</v>
      </c>
      <c r="D153" s="19" t="s">
        <v>152</v>
      </c>
      <c r="E153" s="19">
        <v>42111</v>
      </c>
      <c r="F153" s="86">
        <v>46848.95</v>
      </c>
      <c r="G153" s="86">
        <v>38387.54</v>
      </c>
      <c r="H153" s="86">
        <v>46848.95</v>
      </c>
      <c r="I153" s="86">
        <v>7027.34</v>
      </c>
      <c r="J153" s="86"/>
      <c r="K153" s="86">
        <f t="shared" ref="K153:K159" si="11">G153-I153</f>
        <v>31360.2</v>
      </c>
      <c r="L153" s="18"/>
      <c r="M153" s="18"/>
      <c r="N153" s="26"/>
      <c r="O153" s="83">
        <f t="shared" si="8"/>
        <v>-7.2759576141834259E-12</v>
      </c>
    </row>
    <row r="154" spans="1:15" x14ac:dyDescent="0.25">
      <c r="A154" s="27"/>
      <c r="B154" s="79" t="s">
        <v>62</v>
      </c>
      <c r="C154" s="23" t="s">
        <v>36</v>
      </c>
      <c r="D154" s="19" t="s">
        <v>152</v>
      </c>
      <c r="E154" s="19">
        <v>42111</v>
      </c>
      <c r="F154" s="86">
        <v>38129.51</v>
      </c>
      <c r="G154" s="86">
        <v>14036.72</v>
      </c>
      <c r="H154" s="86">
        <v>38129.51</v>
      </c>
      <c r="I154" s="86">
        <v>5719.43</v>
      </c>
      <c r="J154" s="86"/>
      <c r="K154" s="86">
        <f t="shared" si="11"/>
        <v>8317.2899999999991</v>
      </c>
      <c r="L154" s="18"/>
      <c r="M154" s="18"/>
      <c r="N154" s="26"/>
      <c r="O154" s="83">
        <f t="shared" si="8"/>
        <v>1.8189894035458565E-12</v>
      </c>
    </row>
    <row r="155" spans="1:15" x14ac:dyDescent="0.25">
      <c r="A155" s="27"/>
      <c r="B155" s="79" t="s">
        <v>120</v>
      </c>
      <c r="C155" s="23" t="s">
        <v>68</v>
      </c>
      <c r="D155" s="19" t="s">
        <v>152</v>
      </c>
      <c r="E155" s="19">
        <v>42116</v>
      </c>
      <c r="F155" s="86">
        <v>14025.56</v>
      </c>
      <c r="G155" s="86">
        <v>2156.67</v>
      </c>
      <c r="H155" s="86">
        <v>14025.56</v>
      </c>
      <c r="I155" s="86">
        <v>2156.67</v>
      </c>
      <c r="J155" s="86"/>
      <c r="K155" s="86">
        <f t="shared" si="11"/>
        <v>0</v>
      </c>
      <c r="L155" s="18"/>
      <c r="M155" s="18"/>
      <c r="N155" s="26"/>
      <c r="O155" s="83">
        <f t="shared" si="8"/>
        <v>0</v>
      </c>
    </row>
    <row r="156" spans="1:15" x14ac:dyDescent="0.25">
      <c r="A156" s="27"/>
      <c r="B156" s="79" t="s">
        <v>60</v>
      </c>
      <c r="C156" s="23" t="s">
        <v>61</v>
      </c>
      <c r="D156" s="19" t="s">
        <v>152</v>
      </c>
      <c r="E156" s="19">
        <v>42121</v>
      </c>
      <c r="F156" s="86">
        <v>4954.93</v>
      </c>
      <c r="G156" s="86">
        <v>545.07000000000005</v>
      </c>
      <c r="H156" s="86">
        <v>4954.93</v>
      </c>
      <c r="I156" s="86">
        <v>545.07000000000005</v>
      </c>
      <c r="J156" s="86"/>
      <c r="K156" s="86">
        <f t="shared" si="11"/>
        <v>0</v>
      </c>
      <c r="L156" s="18"/>
      <c r="M156" s="18"/>
      <c r="N156" s="26"/>
      <c r="O156" s="83">
        <f t="shared" si="8"/>
        <v>-3.4106051316484809E-13</v>
      </c>
    </row>
    <row r="157" spans="1:15" x14ac:dyDescent="0.25">
      <c r="A157" s="27"/>
      <c r="B157" s="79" t="s">
        <v>32</v>
      </c>
      <c r="C157" s="23" t="s">
        <v>33</v>
      </c>
      <c r="D157" s="19" t="s">
        <v>152</v>
      </c>
      <c r="E157" s="19">
        <v>42121</v>
      </c>
      <c r="F157" s="86">
        <v>19988.509999999998</v>
      </c>
      <c r="G157" s="86">
        <v>2333.5300000000002</v>
      </c>
      <c r="H157" s="86">
        <v>19988.509999999998</v>
      </c>
      <c r="I157" s="86">
        <v>2333.5300000000002</v>
      </c>
      <c r="J157" s="86"/>
      <c r="K157" s="86">
        <f t="shared" si="11"/>
        <v>0</v>
      </c>
      <c r="L157" s="18"/>
      <c r="M157" s="18"/>
      <c r="N157" s="26"/>
      <c r="O157" s="83">
        <f t="shared" si="8"/>
        <v>-1.3642420526593924E-12</v>
      </c>
    </row>
    <row r="158" spans="1:15" x14ac:dyDescent="0.25">
      <c r="A158" s="27"/>
      <c r="B158" s="79" t="s">
        <v>66</v>
      </c>
      <c r="C158" s="23" t="s">
        <v>67</v>
      </c>
      <c r="D158" s="19" t="s">
        <v>152</v>
      </c>
      <c r="E158" s="19">
        <v>42122</v>
      </c>
      <c r="F158" s="86">
        <v>44303.07</v>
      </c>
      <c r="G158" s="86">
        <v>8106.76</v>
      </c>
      <c r="H158" s="86">
        <v>44303.07</v>
      </c>
      <c r="I158" s="86">
        <v>6645.46</v>
      </c>
      <c r="J158" s="86"/>
      <c r="K158" s="86">
        <f t="shared" si="11"/>
        <v>1461.3000000000002</v>
      </c>
      <c r="L158" s="18"/>
      <c r="M158" s="18"/>
      <c r="N158" s="26"/>
      <c r="O158" s="83">
        <f t="shared" si="8"/>
        <v>1.8189894035458565E-12</v>
      </c>
    </row>
    <row r="159" spans="1:15" x14ac:dyDescent="0.25">
      <c r="A159" s="27"/>
      <c r="B159" s="79" t="s">
        <v>6</v>
      </c>
      <c r="C159" s="23" t="s">
        <v>8</v>
      </c>
      <c r="D159" s="19" t="s">
        <v>152</v>
      </c>
      <c r="E159" s="19">
        <v>42122</v>
      </c>
      <c r="F159" s="86">
        <v>32524.95</v>
      </c>
      <c r="G159" s="86">
        <v>8361.01</v>
      </c>
      <c r="H159" s="86">
        <v>32524.95</v>
      </c>
      <c r="I159" s="86">
        <v>8356.8799999999992</v>
      </c>
      <c r="J159" s="86"/>
      <c r="K159" s="86">
        <f t="shared" si="11"/>
        <v>4.1300000000010186</v>
      </c>
      <c r="L159" s="18"/>
      <c r="M159" s="18"/>
      <c r="N159" s="26"/>
      <c r="O159" s="83">
        <f t="shared" si="8"/>
        <v>-1.8189894035458565E-12</v>
      </c>
    </row>
    <row r="160" spans="1:15" x14ac:dyDescent="0.25">
      <c r="A160" s="27"/>
      <c r="B160" s="79" t="s">
        <v>6</v>
      </c>
      <c r="C160" s="23" t="s">
        <v>30</v>
      </c>
      <c r="D160" s="19" t="s">
        <v>152</v>
      </c>
      <c r="E160" s="19">
        <v>42122</v>
      </c>
      <c r="F160" s="86">
        <v>2205.4299999999998</v>
      </c>
      <c r="G160" s="86">
        <v>150.43</v>
      </c>
      <c r="H160" s="86">
        <v>2205.4299999999998</v>
      </c>
      <c r="I160" s="86">
        <v>150.43</v>
      </c>
      <c r="J160" s="86"/>
      <c r="K160" s="86">
        <v>0</v>
      </c>
      <c r="L160" s="18"/>
      <c r="M160" s="18"/>
      <c r="N160" s="26"/>
      <c r="O160" s="83">
        <f t="shared" si="8"/>
        <v>-1.7053025658242404E-13</v>
      </c>
    </row>
    <row r="161" spans="1:15" x14ac:dyDescent="0.25">
      <c r="A161" s="27"/>
      <c r="B161" s="79" t="s">
        <v>6</v>
      </c>
      <c r="C161" s="23" t="s">
        <v>88</v>
      </c>
      <c r="D161" s="19" t="s">
        <v>152</v>
      </c>
      <c r="E161" s="19">
        <v>42122</v>
      </c>
      <c r="F161" s="86">
        <v>37795.879999999997</v>
      </c>
      <c r="G161" s="86">
        <v>6040.63</v>
      </c>
      <c r="H161" s="86">
        <v>37795.879999999997</v>
      </c>
      <c r="I161" s="86">
        <v>5669.38</v>
      </c>
      <c r="J161" s="86"/>
      <c r="K161" s="86">
        <f t="shared" ref="K161:K167" si="12">G161-I161</f>
        <v>371.25</v>
      </c>
      <c r="L161" s="18"/>
      <c r="M161" s="18"/>
      <c r="N161" s="26"/>
      <c r="O161" s="83">
        <f t="shared" si="8"/>
        <v>-2.7284841053187847E-12</v>
      </c>
    </row>
    <row r="162" spans="1:15" x14ac:dyDescent="0.25">
      <c r="A162" s="27"/>
      <c r="B162" s="79" t="s">
        <v>6</v>
      </c>
      <c r="C162" s="23" t="s">
        <v>14</v>
      </c>
      <c r="D162" s="19" t="s">
        <v>152</v>
      </c>
      <c r="E162" s="19">
        <v>42122</v>
      </c>
      <c r="F162" s="86">
        <v>57713.919999999998</v>
      </c>
      <c r="G162" s="86">
        <v>7930.43</v>
      </c>
      <c r="H162" s="86">
        <v>57713.919999999998</v>
      </c>
      <c r="I162" s="86">
        <v>7930.43</v>
      </c>
      <c r="J162" s="86"/>
      <c r="K162" s="86">
        <f t="shared" si="12"/>
        <v>0</v>
      </c>
      <c r="L162" s="18"/>
      <c r="M162" s="18"/>
      <c r="N162" s="26"/>
      <c r="O162" s="83">
        <f t="shared" si="8"/>
        <v>7.2759576141834259E-12</v>
      </c>
    </row>
    <row r="163" spans="1:15" x14ac:dyDescent="0.25">
      <c r="A163" s="27"/>
      <c r="B163" s="79" t="s">
        <v>6</v>
      </c>
      <c r="C163" s="23" t="s">
        <v>15</v>
      </c>
      <c r="D163" s="19" t="s">
        <v>152</v>
      </c>
      <c r="E163" s="19">
        <v>42122</v>
      </c>
      <c r="F163" s="86">
        <v>18783.86</v>
      </c>
      <c r="G163" s="86">
        <v>3251.09</v>
      </c>
      <c r="H163" s="86">
        <v>18783.86</v>
      </c>
      <c r="I163" s="86">
        <v>3239.82</v>
      </c>
      <c r="J163" s="86"/>
      <c r="K163" s="86">
        <f t="shared" si="12"/>
        <v>11.269999999999982</v>
      </c>
      <c r="L163" s="18"/>
      <c r="M163" s="18"/>
      <c r="N163" s="26"/>
      <c r="O163" s="83">
        <f t="shared" si="8"/>
        <v>0</v>
      </c>
    </row>
    <row r="164" spans="1:15" x14ac:dyDescent="0.25">
      <c r="A164" s="27"/>
      <c r="B164" s="79" t="s">
        <v>6</v>
      </c>
      <c r="C164" s="21" t="s">
        <v>26</v>
      </c>
      <c r="D164" s="19" t="s">
        <v>152</v>
      </c>
      <c r="E164" s="19">
        <v>42122</v>
      </c>
      <c r="F164" s="86">
        <v>9579.75</v>
      </c>
      <c r="G164" s="86">
        <v>2044.85</v>
      </c>
      <c r="H164" s="86">
        <v>9579.75</v>
      </c>
      <c r="I164" s="86">
        <v>2032.53</v>
      </c>
      <c r="J164" s="78"/>
      <c r="K164" s="86">
        <f t="shared" si="12"/>
        <v>12.319999999999936</v>
      </c>
      <c r="L164" s="78"/>
      <c r="M164" s="18"/>
      <c r="N164" s="28"/>
      <c r="O164" s="83">
        <f t="shared" ref="O164:O195" si="13">(F164+G164)-H164-I164-J164-K164-L164-M164-N164</f>
        <v>4.5474735088646412E-13</v>
      </c>
    </row>
    <row r="165" spans="1:15" x14ac:dyDescent="0.25">
      <c r="A165" s="29"/>
      <c r="B165" s="79" t="s">
        <v>6</v>
      </c>
      <c r="C165" s="22" t="s">
        <v>27</v>
      </c>
      <c r="D165" s="19" t="s">
        <v>152</v>
      </c>
      <c r="E165" s="19">
        <v>42122</v>
      </c>
      <c r="F165" s="86">
        <v>11485.01</v>
      </c>
      <c r="G165" s="86">
        <v>2698.1</v>
      </c>
      <c r="H165" s="86">
        <v>11485.01</v>
      </c>
      <c r="I165" s="86">
        <v>2698.1</v>
      </c>
      <c r="J165" s="4"/>
      <c r="K165" s="86">
        <f t="shared" si="12"/>
        <v>0</v>
      </c>
      <c r="M165" s="18"/>
      <c r="N165" s="30"/>
      <c r="O165" s="83">
        <f t="shared" si="13"/>
        <v>4.5474735088646412E-13</v>
      </c>
    </row>
    <row r="166" spans="1:15" x14ac:dyDescent="0.25">
      <c r="A166" s="27"/>
      <c r="B166" s="79" t="s">
        <v>6</v>
      </c>
      <c r="C166" s="21" t="s">
        <v>73</v>
      </c>
      <c r="D166" s="19" t="s">
        <v>152</v>
      </c>
      <c r="E166" s="19">
        <v>42122</v>
      </c>
      <c r="F166" s="86">
        <v>19557.96</v>
      </c>
      <c r="G166" s="86">
        <v>2843.32</v>
      </c>
      <c r="H166" s="86">
        <v>19557.96</v>
      </c>
      <c r="I166" s="86">
        <v>2843.32</v>
      </c>
      <c r="J166" s="4"/>
      <c r="K166" s="86">
        <f t="shared" si="12"/>
        <v>0</v>
      </c>
      <c r="L166" s="78"/>
      <c r="M166" s="18"/>
      <c r="N166" s="28"/>
      <c r="O166" s="83">
        <f t="shared" si="13"/>
        <v>-4.5474735088646412E-13</v>
      </c>
    </row>
    <row r="167" spans="1:15" x14ac:dyDescent="0.25">
      <c r="A167" s="27"/>
      <c r="B167" s="79" t="s">
        <v>6</v>
      </c>
      <c r="C167" s="21" t="s">
        <v>9</v>
      </c>
      <c r="D167" s="19" t="s">
        <v>152</v>
      </c>
      <c r="E167" s="19">
        <v>42122</v>
      </c>
      <c r="F167" s="86">
        <v>14598.11</v>
      </c>
      <c r="G167" s="86">
        <v>6754.52</v>
      </c>
      <c r="H167" s="86">
        <v>14598.11</v>
      </c>
      <c r="I167" s="86">
        <v>6746.38</v>
      </c>
      <c r="J167" s="78"/>
      <c r="K167" s="86">
        <f t="shared" si="12"/>
        <v>8.1400000000003274</v>
      </c>
      <c r="L167" s="78"/>
      <c r="M167" s="18"/>
      <c r="N167" s="28"/>
      <c r="O167" s="83">
        <f t="shared" si="13"/>
        <v>0</v>
      </c>
    </row>
    <row r="168" spans="1:15" x14ac:dyDescent="0.25">
      <c r="A168" s="27"/>
      <c r="B168" s="79" t="s">
        <v>6</v>
      </c>
      <c r="C168" s="21" t="s">
        <v>11</v>
      </c>
      <c r="D168" s="19" t="s">
        <v>152</v>
      </c>
      <c r="E168" s="19">
        <v>42122</v>
      </c>
      <c r="F168" s="86">
        <v>138870.85999999999</v>
      </c>
      <c r="G168" s="86">
        <v>17570.060000000001</v>
      </c>
      <c r="H168" s="86">
        <v>138870.85999999999</v>
      </c>
      <c r="I168" s="86">
        <v>17570.060000000001</v>
      </c>
      <c r="J168" s="78"/>
      <c r="K168" s="78">
        <v>0</v>
      </c>
      <c r="L168" s="78"/>
      <c r="M168" s="18"/>
      <c r="N168" s="78"/>
      <c r="O168" s="83">
        <f t="shared" si="13"/>
        <v>-3.637978807091713E-12</v>
      </c>
    </row>
    <row r="169" spans="1:15" x14ac:dyDescent="0.25">
      <c r="A169" s="27"/>
      <c r="B169" s="79" t="s">
        <v>6</v>
      </c>
      <c r="C169" s="21" t="s">
        <v>7</v>
      </c>
      <c r="D169" s="19" t="s">
        <v>152</v>
      </c>
      <c r="E169" s="19">
        <v>42122</v>
      </c>
      <c r="F169" s="86">
        <v>22144.85</v>
      </c>
      <c r="G169" s="86">
        <v>5470.3</v>
      </c>
      <c r="H169" s="86">
        <v>22144.85</v>
      </c>
      <c r="I169" s="86">
        <v>5453.34</v>
      </c>
      <c r="J169" s="78"/>
      <c r="K169" s="86">
        <f>G169-I169</f>
        <v>16.960000000000036</v>
      </c>
      <c r="L169" s="78"/>
      <c r="M169" s="18"/>
      <c r="N169" s="28"/>
      <c r="O169" s="83">
        <f t="shared" si="13"/>
        <v>-9.0949470177292824E-13</v>
      </c>
    </row>
    <row r="170" spans="1:15" x14ac:dyDescent="0.25">
      <c r="A170" s="27"/>
      <c r="B170" s="79" t="s">
        <v>6</v>
      </c>
      <c r="C170" s="21" t="s">
        <v>91</v>
      </c>
      <c r="D170" s="19" t="s">
        <v>152</v>
      </c>
      <c r="E170" s="19">
        <v>42122</v>
      </c>
      <c r="F170" s="86">
        <v>2520.69</v>
      </c>
      <c r="G170" s="86">
        <v>1487.73</v>
      </c>
      <c r="H170" s="86">
        <v>2520.69</v>
      </c>
      <c r="I170" s="86">
        <v>1487.73</v>
      </c>
      <c r="J170" s="78"/>
      <c r="K170" s="86">
        <v>0</v>
      </c>
      <c r="L170" s="78"/>
      <c r="M170" s="18"/>
      <c r="N170" s="28"/>
      <c r="O170" s="83">
        <f t="shared" si="13"/>
        <v>0</v>
      </c>
    </row>
    <row r="171" spans="1:15" x14ac:dyDescent="0.25">
      <c r="A171" s="27"/>
      <c r="B171" s="79" t="s">
        <v>6</v>
      </c>
      <c r="C171" s="21" t="s">
        <v>31</v>
      </c>
      <c r="D171" s="19" t="s">
        <v>152</v>
      </c>
      <c r="E171" s="19">
        <v>42122</v>
      </c>
      <c r="F171" s="86">
        <v>2113.15</v>
      </c>
      <c r="G171" s="86">
        <v>1205.0899999999999</v>
      </c>
      <c r="H171" s="86">
        <v>2113.15</v>
      </c>
      <c r="I171" s="86">
        <v>894.44</v>
      </c>
      <c r="J171" s="78"/>
      <c r="K171" s="86">
        <f t="shared" ref="K171:K177" si="14">G171-I171</f>
        <v>310.64999999999986</v>
      </c>
      <c r="L171" s="78"/>
      <c r="M171" s="18"/>
      <c r="N171" s="28"/>
      <c r="O171" s="83">
        <f t="shared" si="13"/>
        <v>-2.2737367544323206E-13</v>
      </c>
    </row>
    <row r="172" spans="1:15" x14ac:dyDescent="0.25">
      <c r="A172" s="27"/>
      <c r="B172" s="79" t="s">
        <v>6</v>
      </c>
      <c r="C172" s="21" t="s">
        <v>24</v>
      </c>
      <c r="D172" s="19" t="s">
        <v>152</v>
      </c>
      <c r="E172" s="19">
        <v>42122</v>
      </c>
      <c r="F172" s="86">
        <v>9430.59</v>
      </c>
      <c r="G172" s="86">
        <v>1807.68</v>
      </c>
      <c r="H172" s="86">
        <v>9430.59</v>
      </c>
      <c r="I172" s="86">
        <v>1803.68</v>
      </c>
      <c r="J172" s="78"/>
      <c r="K172" s="86">
        <f t="shared" si="14"/>
        <v>4</v>
      </c>
      <c r="L172" s="78"/>
      <c r="M172" s="18"/>
      <c r="N172" s="28"/>
      <c r="O172" s="83">
        <f t="shared" si="13"/>
        <v>2.2737367544323206E-13</v>
      </c>
    </row>
    <row r="173" spans="1:15" x14ac:dyDescent="0.25">
      <c r="A173" s="27"/>
      <c r="B173" s="79" t="s">
        <v>6</v>
      </c>
      <c r="C173" s="21" t="s">
        <v>29</v>
      </c>
      <c r="D173" s="19" t="s">
        <v>152</v>
      </c>
      <c r="E173" s="19">
        <v>42122</v>
      </c>
      <c r="F173" s="86">
        <v>13776.64</v>
      </c>
      <c r="G173" s="86">
        <v>2557.09</v>
      </c>
      <c r="H173" s="86">
        <v>13776.64</v>
      </c>
      <c r="I173" s="86">
        <v>2548.06</v>
      </c>
      <c r="J173" s="78"/>
      <c r="K173" s="86">
        <f t="shared" si="14"/>
        <v>9.0300000000002001</v>
      </c>
      <c r="L173" s="78"/>
      <c r="M173" s="18"/>
      <c r="N173" s="28"/>
      <c r="O173" s="83">
        <f t="shared" si="13"/>
        <v>0</v>
      </c>
    </row>
    <row r="174" spans="1:15" x14ac:dyDescent="0.25">
      <c r="A174" s="27"/>
      <c r="B174" s="79" t="s">
        <v>6</v>
      </c>
      <c r="C174" s="21" t="s">
        <v>55</v>
      </c>
      <c r="D174" s="19" t="s">
        <v>152</v>
      </c>
      <c r="E174" s="19">
        <v>42122</v>
      </c>
      <c r="F174" s="86">
        <v>19050.37</v>
      </c>
      <c r="G174" s="86">
        <v>4011.1</v>
      </c>
      <c r="H174" s="86">
        <v>19050.37</v>
      </c>
      <c r="I174" s="86">
        <v>3999.92</v>
      </c>
      <c r="J174" s="78"/>
      <c r="K174" s="86">
        <f t="shared" si="14"/>
        <v>11.179999999999836</v>
      </c>
      <c r="L174" s="78"/>
      <c r="M174" s="18"/>
      <c r="N174" s="28"/>
      <c r="O174" s="83">
        <f t="shared" si="13"/>
        <v>-1.3642420526593924E-12</v>
      </c>
    </row>
    <row r="175" spans="1:15" x14ac:dyDescent="0.25">
      <c r="A175" s="27"/>
      <c r="B175" s="79" t="s">
        <v>6</v>
      </c>
      <c r="C175" s="21" t="s">
        <v>25</v>
      </c>
      <c r="D175" s="19" t="s">
        <v>152</v>
      </c>
      <c r="E175" s="19">
        <v>42122</v>
      </c>
      <c r="F175" s="86">
        <v>6032.79</v>
      </c>
      <c r="G175" s="86">
        <v>1664</v>
      </c>
      <c r="H175" s="86">
        <v>6032.79</v>
      </c>
      <c r="I175" s="86">
        <v>1659.7</v>
      </c>
      <c r="J175" s="78"/>
      <c r="K175" s="86">
        <f t="shared" si="14"/>
        <v>4.2999999999999545</v>
      </c>
      <c r="L175" s="78"/>
      <c r="M175" s="18"/>
      <c r="N175" s="28"/>
      <c r="O175" s="83">
        <f t="shared" si="13"/>
        <v>0</v>
      </c>
    </row>
    <row r="176" spans="1:15" x14ac:dyDescent="0.25">
      <c r="A176" s="27"/>
      <c r="B176" s="79" t="s">
        <v>6</v>
      </c>
      <c r="C176" s="21" t="s">
        <v>28</v>
      </c>
      <c r="D176" s="19" t="s">
        <v>152</v>
      </c>
      <c r="E176" s="19">
        <v>42122</v>
      </c>
      <c r="F176" s="86">
        <v>10142.280000000001</v>
      </c>
      <c r="G176" s="86">
        <v>2067.0300000000002</v>
      </c>
      <c r="H176" s="86">
        <v>10142.280000000001</v>
      </c>
      <c r="I176" s="86">
        <v>2055.71</v>
      </c>
      <c r="J176" s="78"/>
      <c r="K176" s="86">
        <f t="shared" si="14"/>
        <v>11.320000000000164</v>
      </c>
      <c r="L176" s="78"/>
      <c r="M176" s="18"/>
      <c r="N176" s="28"/>
      <c r="O176" s="83">
        <f t="shared" si="13"/>
        <v>4.5474735088646412E-13</v>
      </c>
    </row>
    <row r="177" spans="1:15" x14ac:dyDescent="0.25">
      <c r="A177" s="27"/>
      <c r="B177" s="79" t="s">
        <v>6</v>
      </c>
      <c r="C177" s="21" t="s">
        <v>10</v>
      </c>
      <c r="D177" s="19" t="s">
        <v>152</v>
      </c>
      <c r="E177" s="19">
        <v>42122</v>
      </c>
      <c r="F177" s="86">
        <v>22632.33</v>
      </c>
      <c r="G177" s="86">
        <v>4339.8900000000003</v>
      </c>
      <c r="H177" s="86">
        <v>22632.33</v>
      </c>
      <c r="I177" s="86">
        <v>4327.1099999999997</v>
      </c>
      <c r="J177" s="78"/>
      <c r="K177" s="86">
        <f t="shared" si="14"/>
        <v>12.780000000000655</v>
      </c>
      <c r="L177" s="78"/>
      <c r="M177" s="18"/>
      <c r="N177" s="28"/>
      <c r="O177" s="83">
        <f t="shared" si="13"/>
        <v>-9.0949470177292824E-13</v>
      </c>
    </row>
    <row r="178" spans="1:15" x14ac:dyDescent="0.25">
      <c r="A178" s="27"/>
      <c r="B178" s="3" t="s">
        <v>53</v>
      </c>
      <c r="C178" s="21" t="s">
        <v>54</v>
      </c>
      <c r="D178" s="19" t="s">
        <v>152</v>
      </c>
      <c r="E178" s="80">
        <v>42121</v>
      </c>
      <c r="F178" s="86">
        <v>11408.03</v>
      </c>
      <c r="G178" s="86">
        <v>636.48</v>
      </c>
      <c r="H178" s="86">
        <v>11408.03</v>
      </c>
      <c r="I178" s="86">
        <v>636.48</v>
      </c>
      <c r="J178" s="78"/>
      <c r="K178" s="78"/>
      <c r="L178" s="78"/>
      <c r="M178" s="18"/>
      <c r="N178" s="28"/>
      <c r="O178" s="83">
        <f t="shared" si="13"/>
        <v>-4.5474735088646412E-13</v>
      </c>
    </row>
    <row r="179" spans="1:15" x14ac:dyDescent="0.25">
      <c r="A179" s="27"/>
      <c r="B179" s="3" t="s">
        <v>22</v>
      </c>
      <c r="C179" s="21" t="s">
        <v>23</v>
      </c>
      <c r="D179" s="19" t="s">
        <v>152</v>
      </c>
      <c r="E179" s="80">
        <v>42123</v>
      </c>
      <c r="F179" s="86">
        <v>18195.88</v>
      </c>
      <c r="G179" s="86">
        <v>2100</v>
      </c>
      <c r="H179" s="86">
        <v>18195.88</v>
      </c>
      <c r="I179" s="86">
        <v>2100</v>
      </c>
      <c r="J179" s="78"/>
      <c r="K179" s="78">
        <v>0</v>
      </c>
      <c r="L179" s="78"/>
      <c r="M179" s="18"/>
      <c r="N179" s="28"/>
      <c r="O179" s="83">
        <f t="shared" si="13"/>
        <v>0</v>
      </c>
    </row>
    <row r="180" spans="1:15" x14ac:dyDescent="0.25">
      <c r="A180" s="27"/>
      <c r="B180" s="3" t="s">
        <v>56</v>
      </c>
      <c r="C180" s="21" t="s">
        <v>57</v>
      </c>
      <c r="D180" s="19" t="s">
        <v>152</v>
      </c>
      <c r="E180" s="80">
        <v>42123</v>
      </c>
      <c r="F180" s="86">
        <v>28450.29</v>
      </c>
      <c r="G180" s="5">
        <v>4259.03</v>
      </c>
      <c r="H180" s="86">
        <v>28450.29</v>
      </c>
      <c r="I180" s="5">
        <v>4259.03</v>
      </c>
      <c r="J180" s="78"/>
      <c r="K180" s="86">
        <f t="shared" ref="K180:K186" si="15">G180-I180</f>
        <v>0</v>
      </c>
      <c r="L180" s="78"/>
      <c r="M180" s="18"/>
      <c r="N180" s="28"/>
      <c r="O180" s="83">
        <f t="shared" si="13"/>
        <v>-9.0949470177292824E-13</v>
      </c>
    </row>
    <row r="181" spans="1:15" x14ac:dyDescent="0.25">
      <c r="A181" s="27"/>
      <c r="B181" s="3" t="s">
        <v>39</v>
      </c>
      <c r="C181" s="21" t="s">
        <v>40</v>
      </c>
      <c r="D181" s="19" t="s">
        <v>152</v>
      </c>
      <c r="E181" s="80">
        <v>42123</v>
      </c>
      <c r="F181" s="86">
        <v>18727.84</v>
      </c>
      <c r="G181" s="86">
        <v>15709.4</v>
      </c>
      <c r="H181" s="86">
        <v>18727.84</v>
      </c>
      <c r="I181" s="86">
        <v>15709.4</v>
      </c>
      <c r="J181" s="78"/>
      <c r="K181" s="86">
        <f t="shared" si="15"/>
        <v>0</v>
      </c>
      <c r="L181" s="78"/>
      <c r="M181" s="18"/>
      <c r="N181" s="28"/>
      <c r="O181" s="83">
        <f t="shared" si="13"/>
        <v>-1.8189894035458565E-12</v>
      </c>
    </row>
    <row r="182" spans="1:15" x14ac:dyDescent="0.25">
      <c r="A182" s="27"/>
      <c r="B182" s="3" t="s">
        <v>78</v>
      </c>
      <c r="C182" s="21" t="s">
        <v>86</v>
      </c>
      <c r="D182" s="19" t="s">
        <v>152</v>
      </c>
      <c r="E182" s="80">
        <v>42123</v>
      </c>
      <c r="F182" s="86">
        <v>40136.46</v>
      </c>
      <c r="G182" s="86">
        <v>7667</v>
      </c>
      <c r="H182" s="86">
        <v>40136.46</v>
      </c>
      <c r="I182" s="78">
        <v>6020.47</v>
      </c>
      <c r="J182" s="78"/>
      <c r="K182" s="86">
        <f t="shared" si="15"/>
        <v>1646.5299999999997</v>
      </c>
      <c r="L182" s="78"/>
      <c r="M182" s="18"/>
      <c r="N182" s="28"/>
      <c r="O182" s="83">
        <f t="shared" si="13"/>
        <v>0</v>
      </c>
    </row>
    <row r="183" spans="1:15" x14ac:dyDescent="0.25">
      <c r="A183" s="27"/>
      <c r="B183" s="3" t="s">
        <v>69</v>
      </c>
      <c r="C183" s="21" t="s">
        <v>70</v>
      </c>
      <c r="D183" s="19" t="s">
        <v>152</v>
      </c>
      <c r="E183" s="80">
        <v>42123</v>
      </c>
      <c r="F183" s="86">
        <v>10996.95</v>
      </c>
      <c r="G183" s="86">
        <v>1649.57</v>
      </c>
      <c r="H183" s="86">
        <v>10996.95</v>
      </c>
      <c r="I183" s="86">
        <v>1649.54</v>
      </c>
      <c r="J183" s="78"/>
      <c r="K183" s="86">
        <f t="shared" si="15"/>
        <v>2.9999999999972715E-2</v>
      </c>
      <c r="M183" s="78"/>
      <c r="N183" s="28"/>
      <c r="O183" s="83">
        <f t="shared" si="13"/>
        <v>-2.2737367544323206E-13</v>
      </c>
    </row>
    <row r="184" spans="1:15" x14ac:dyDescent="0.25">
      <c r="A184" s="27"/>
      <c r="B184" s="3" t="s">
        <v>76</v>
      </c>
      <c r="C184" s="21" t="s">
        <v>77</v>
      </c>
      <c r="D184" s="80" t="s">
        <v>129</v>
      </c>
      <c r="E184" s="80">
        <v>42123</v>
      </c>
      <c r="F184" s="86">
        <v>2592.25</v>
      </c>
      <c r="G184" s="84">
        <v>295.73</v>
      </c>
      <c r="H184" s="86">
        <v>2592.25</v>
      </c>
      <c r="I184" s="84">
        <v>295.73</v>
      </c>
      <c r="J184" s="78"/>
      <c r="K184" s="86">
        <f t="shared" si="15"/>
        <v>0</v>
      </c>
      <c r="L184" s="86"/>
      <c r="M184" s="18"/>
      <c r="N184" s="28"/>
      <c r="O184" s="83">
        <f t="shared" si="13"/>
        <v>0</v>
      </c>
    </row>
    <row r="185" spans="1:15" x14ac:dyDescent="0.25">
      <c r="A185" s="27"/>
      <c r="B185" s="79" t="s">
        <v>20</v>
      </c>
      <c r="C185" s="81" t="s">
        <v>21</v>
      </c>
      <c r="D185" s="19" t="s">
        <v>152</v>
      </c>
      <c r="E185" s="10">
        <v>42124</v>
      </c>
      <c r="F185" s="86">
        <v>67571.44</v>
      </c>
      <c r="G185" s="86">
        <v>8037.92</v>
      </c>
      <c r="H185" s="86">
        <v>67571.44</v>
      </c>
      <c r="I185" s="86">
        <v>8037.92</v>
      </c>
      <c r="J185" s="78"/>
      <c r="K185" s="86">
        <f t="shared" si="15"/>
        <v>0</v>
      </c>
      <c r="L185" s="86"/>
      <c r="M185" s="18"/>
      <c r="N185" s="28"/>
      <c r="O185" s="83">
        <f t="shared" si="13"/>
        <v>-1.8189894035458565E-12</v>
      </c>
    </row>
    <row r="186" spans="1:15" x14ac:dyDescent="0.25">
      <c r="A186" s="29"/>
      <c r="B186" s="9" t="s">
        <v>18</v>
      </c>
      <c r="C186" s="22" t="s">
        <v>19</v>
      </c>
      <c r="D186" s="10" t="s">
        <v>129</v>
      </c>
      <c r="E186" s="10">
        <v>42125</v>
      </c>
      <c r="F186" s="86">
        <v>19410.080000000002</v>
      </c>
      <c r="G186" s="86">
        <v>17820</v>
      </c>
      <c r="H186" s="86">
        <v>19410.080000000002</v>
      </c>
      <c r="I186" s="78">
        <v>0</v>
      </c>
      <c r="J186" s="78"/>
      <c r="K186" s="86">
        <f t="shared" si="15"/>
        <v>17820</v>
      </c>
      <c r="L186" s="86"/>
      <c r="M186" s="18"/>
      <c r="N186" s="30"/>
      <c r="O186" s="83">
        <f t="shared" si="13"/>
        <v>0</v>
      </c>
    </row>
    <row r="187" spans="1:15" x14ac:dyDescent="0.25">
      <c r="A187" s="27"/>
      <c r="B187" s="3" t="s">
        <v>64</v>
      </c>
      <c r="C187" s="21" t="s">
        <v>65</v>
      </c>
      <c r="D187" s="19" t="s">
        <v>152</v>
      </c>
      <c r="E187" s="10">
        <v>42131</v>
      </c>
      <c r="F187" s="86">
        <v>1728.42</v>
      </c>
      <c r="G187" s="86">
        <v>259.24</v>
      </c>
      <c r="H187" s="86">
        <v>1728.42</v>
      </c>
      <c r="I187" s="86">
        <v>259.24</v>
      </c>
      <c r="J187" s="78"/>
      <c r="K187" s="78">
        <v>0</v>
      </c>
      <c r="M187" s="86"/>
      <c r="N187" s="28"/>
      <c r="O187" s="83">
        <f t="shared" si="13"/>
        <v>0</v>
      </c>
    </row>
    <row r="188" spans="1:15" x14ac:dyDescent="0.25">
      <c r="A188" s="27"/>
      <c r="B188" s="3" t="s">
        <v>79</v>
      </c>
      <c r="C188" s="21" t="s">
        <v>87</v>
      </c>
      <c r="D188" s="10" t="s">
        <v>129</v>
      </c>
      <c r="E188" s="10">
        <v>42142</v>
      </c>
      <c r="F188" s="86">
        <v>7023.45</v>
      </c>
      <c r="G188" s="86">
        <v>2797.61</v>
      </c>
      <c r="H188" s="86">
        <v>7023.45</v>
      </c>
      <c r="I188" s="78">
        <v>1053.52</v>
      </c>
      <c r="J188" s="78"/>
      <c r="K188" s="86">
        <f t="shared" ref="K188:K193" si="16">G188-I188</f>
        <v>1744.0900000000001</v>
      </c>
      <c r="L188" s="86"/>
      <c r="M188" s="18"/>
      <c r="N188" s="28"/>
      <c r="O188" s="83">
        <f t="shared" si="13"/>
        <v>-4.5474735088646412E-13</v>
      </c>
    </row>
    <row r="189" spans="1:15" x14ac:dyDescent="0.25">
      <c r="A189" s="27"/>
      <c r="B189" s="3" t="s">
        <v>12</v>
      </c>
      <c r="C189" s="21" t="s">
        <v>13</v>
      </c>
      <c r="D189" s="10" t="s">
        <v>130</v>
      </c>
      <c r="E189" s="80">
        <v>42136</v>
      </c>
      <c r="F189" s="86">
        <v>43002.99</v>
      </c>
      <c r="G189" s="86">
        <v>4664.76</v>
      </c>
      <c r="H189" s="86">
        <v>43002.99</v>
      </c>
      <c r="I189" s="86">
        <v>4664.76</v>
      </c>
      <c r="J189" s="78"/>
      <c r="K189" s="86">
        <f t="shared" si="16"/>
        <v>0</v>
      </c>
      <c r="L189" s="86"/>
      <c r="M189" s="18"/>
      <c r="N189" s="28"/>
      <c r="O189" s="83">
        <f t="shared" si="13"/>
        <v>1.8189894035458565E-12</v>
      </c>
    </row>
    <row r="190" spans="1:15" x14ac:dyDescent="0.25">
      <c r="A190" s="29"/>
      <c r="B190" s="9" t="s">
        <v>49</v>
      </c>
      <c r="C190" s="22" t="s">
        <v>50</v>
      </c>
      <c r="D190" s="10" t="s">
        <v>130</v>
      </c>
      <c r="E190" s="10">
        <v>42144</v>
      </c>
      <c r="F190" s="86">
        <v>17232.97</v>
      </c>
      <c r="G190" s="86">
        <v>1180.74</v>
      </c>
      <c r="H190" s="86">
        <v>17232.97</v>
      </c>
      <c r="I190" s="86">
        <v>1180.74</v>
      </c>
      <c r="J190" s="86"/>
      <c r="K190" s="86">
        <f t="shared" si="16"/>
        <v>0</v>
      </c>
      <c r="M190" s="86"/>
      <c r="N190" s="30"/>
      <c r="O190" s="83">
        <f t="shared" si="13"/>
        <v>1.5916157281026244E-12</v>
      </c>
    </row>
    <row r="191" spans="1:15" x14ac:dyDescent="0.25">
      <c r="A191" s="27"/>
      <c r="B191" s="3" t="s">
        <v>18</v>
      </c>
      <c r="C191" s="21" t="s">
        <v>19</v>
      </c>
      <c r="D191" s="10" t="s">
        <v>130</v>
      </c>
      <c r="E191" s="80">
        <v>42146</v>
      </c>
      <c r="F191" s="86">
        <v>23594.87</v>
      </c>
      <c r="G191" s="86">
        <v>17550</v>
      </c>
      <c r="H191" s="86">
        <v>23594.87</v>
      </c>
      <c r="I191" s="78">
        <v>3539.23</v>
      </c>
      <c r="J191" s="86"/>
      <c r="K191" s="4">
        <f t="shared" si="16"/>
        <v>14010.77</v>
      </c>
      <c r="L191" s="4"/>
      <c r="M191" s="78"/>
      <c r="N191" s="28"/>
      <c r="O191" s="83">
        <f t="shared" si="13"/>
        <v>-3.637978807091713E-12</v>
      </c>
    </row>
    <row r="192" spans="1:15" x14ac:dyDescent="0.25">
      <c r="A192" s="27"/>
      <c r="B192" s="3" t="s">
        <v>76</v>
      </c>
      <c r="C192" s="21" t="s">
        <v>77</v>
      </c>
      <c r="D192" s="10" t="s">
        <v>130</v>
      </c>
      <c r="E192" s="80">
        <v>42152</v>
      </c>
      <c r="F192" s="86">
        <v>4471.8</v>
      </c>
      <c r="G192" s="86">
        <v>335.16</v>
      </c>
      <c r="H192" s="86">
        <v>4471.8</v>
      </c>
      <c r="I192" s="86">
        <v>335.16</v>
      </c>
      <c r="J192" s="86"/>
      <c r="K192" s="86">
        <f t="shared" si="16"/>
        <v>0</v>
      </c>
      <c r="L192" s="4"/>
      <c r="M192" s="86"/>
      <c r="N192" s="28"/>
      <c r="O192" s="83">
        <f t="shared" si="13"/>
        <v>-1.7053025658242404E-13</v>
      </c>
    </row>
    <row r="193" spans="1:15" x14ac:dyDescent="0.25">
      <c r="A193" s="27"/>
      <c r="B193" s="3" t="s">
        <v>47</v>
      </c>
      <c r="C193" s="21" t="s">
        <v>48</v>
      </c>
      <c r="D193" s="10" t="s">
        <v>129</v>
      </c>
      <c r="E193" s="80">
        <v>42163</v>
      </c>
      <c r="F193" s="86">
        <v>3587.5</v>
      </c>
      <c r="G193" s="86">
        <v>583.15</v>
      </c>
      <c r="H193" s="86">
        <v>3587.5</v>
      </c>
      <c r="I193" s="78">
        <v>538.13</v>
      </c>
      <c r="J193" s="86"/>
      <c r="K193" s="86">
        <f t="shared" si="16"/>
        <v>45.019999999999982</v>
      </c>
      <c r="L193" s="86"/>
      <c r="M193" s="18"/>
      <c r="N193" s="28"/>
      <c r="O193" s="83">
        <f t="shared" si="13"/>
        <v>-3.4106051316484809E-13</v>
      </c>
    </row>
    <row r="194" spans="1:15" x14ac:dyDescent="0.25">
      <c r="A194" s="27"/>
      <c r="B194" s="3" t="s">
        <v>74</v>
      </c>
      <c r="C194" s="21" t="s">
        <v>75</v>
      </c>
      <c r="D194" s="80" t="s">
        <v>152</v>
      </c>
      <c r="E194" s="80">
        <v>42124</v>
      </c>
      <c r="F194" s="86">
        <v>39113.040000000001</v>
      </c>
      <c r="G194" s="86">
        <v>5866.96</v>
      </c>
      <c r="H194" s="86">
        <v>39113.040000000001</v>
      </c>
      <c r="I194" s="86">
        <v>5866.96</v>
      </c>
      <c r="J194" s="86"/>
      <c r="K194" s="86">
        <v>0</v>
      </c>
      <c r="L194" s="86"/>
      <c r="M194" s="86"/>
      <c r="N194" s="28"/>
      <c r="O194" s="83">
        <f t="shared" si="13"/>
        <v>-9.0949470177292824E-13</v>
      </c>
    </row>
    <row r="195" spans="1:15" x14ac:dyDescent="0.25">
      <c r="A195" s="29"/>
      <c r="B195" s="3" t="s">
        <v>47</v>
      </c>
      <c r="C195" s="22" t="s">
        <v>48</v>
      </c>
      <c r="D195" s="10" t="s">
        <v>130</v>
      </c>
      <c r="E195" s="80">
        <v>42163</v>
      </c>
      <c r="F195" s="86">
        <v>4670.7299999999996</v>
      </c>
      <c r="G195" s="86">
        <v>677.46</v>
      </c>
      <c r="H195" s="86">
        <v>4670.7299999999996</v>
      </c>
      <c r="I195" s="86">
        <v>677.46</v>
      </c>
      <c r="J195" s="86"/>
      <c r="K195" s="86">
        <f>G195-I195</f>
        <v>0</v>
      </c>
      <c r="L195" s="86"/>
      <c r="M195" s="18"/>
      <c r="N195" s="30"/>
      <c r="O195" s="83">
        <f t="shared" si="13"/>
        <v>0</v>
      </c>
    </row>
    <row r="196" spans="1:15" x14ac:dyDescent="0.25">
      <c r="A196" s="31"/>
      <c r="B196" s="9" t="s">
        <v>79</v>
      </c>
      <c r="C196" s="22" t="s">
        <v>87</v>
      </c>
      <c r="D196" s="10" t="s">
        <v>130</v>
      </c>
      <c r="E196" s="10">
        <v>42165</v>
      </c>
      <c r="F196" s="86">
        <v>5960.13</v>
      </c>
      <c r="G196" s="86">
        <v>3121.07</v>
      </c>
      <c r="H196" s="86">
        <v>5960.13</v>
      </c>
      <c r="I196" s="78">
        <v>1947.54</v>
      </c>
      <c r="K196" s="78">
        <f>G196-I196</f>
        <v>1173.5300000000002</v>
      </c>
      <c r="L196" s="86"/>
      <c r="M196" s="86"/>
      <c r="N196" s="30"/>
      <c r="O196" s="83">
        <f t="shared" ref="O196:O199" si="17">(F196+G196)-H196-I196-J196-K196-L196-M196-N196</f>
        <v>4.5474735088646412E-13</v>
      </c>
    </row>
    <row r="197" spans="1:15" x14ac:dyDescent="0.25">
      <c r="A197" s="32"/>
      <c r="B197" s="3" t="s">
        <v>81</v>
      </c>
      <c r="C197" s="21" t="s">
        <v>89</v>
      </c>
      <c r="D197" s="10" t="s">
        <v>130</v>
      </c>
      <c r="E197" s="10">
        <v>42137</v>
      </c>
      <c r="F197" s="86">
        <v>3430.63</v>
      </c>
      <c r="G197" s="86">
        <v>0</v>
      </c>
      <c r="H197" s="86">
        <v>3430.63</v>
      </c>
      <c r="I197" s="78">
        <v>0</v>
      </c>
      <c r="J197" s="78"/>
      <c r="K197" s="86">
        <v>0</v>
      </c>
      <c r="L197" s="86"/>
      <c r="M197" s="18"/>
      <c r="N197" s="28"/>
      <c r="O197" s="83">
        <f t="shared" si="17"/>
        <v>0</v>
      </c>
    </row>
    <row r="198" spans="1:15" x14ac:dyDescent="0.25">
      <c r="A198" s="32"/>
      <c r="B198" s="3" t="s">
        <v>81</v>
      </c>
      <c r="C198" s="21" t="s">
        <v>89</v>
      </c>
      <c r="D198" s="10" t="s">
        <v>131</v>
      </c>
      <c r="E198" s="10">
        <v>42166</v>
      </c>
      <c r="F198" s="86">
        <v>17497.330000000002</v>
      </c>
      <c r="G198" s="86">
        <v>24737.85</v>
      </c>
      <c r="H198" s="86">
        <v>17497.330000000002</v>
      </c>
      <c r="I198" s="86">
        <v>24737.85</v>
      </c>
      <c r="J198" s="86"/>
      <c r="K198" s="86">
        <f t="shared" ref="K198:K209" si="18">G198-I198</f>
        <v>0</v>
      </c>
      <c r="L198" s="86"/>
      <c r="M198" s="18"/>
      <c r="N198" s="28"/>
      <c r="O198" s="83">
        <f t="shared" si="17"/>
        <v>0</v>
      </c>
    </row>
    <row r="199" spans="1:15" x14ac:dyDescent="0.25">
      <c r="A199" s="32"/>
      <c r="B199" s="3" t="s">
        <v>12</v>
      </c>
      <c r="C199" s="21" t="s">
        <v>13</v>
      </c>
      <c r="D199" s="80" t="s">
        <v>131</v>
      </c>
      <c r="E199" s="80">
        <v>42166</v>
      </c>
      <c r="F199" s="86">
        <v>33308.85</v>
      </c>
      <c r="G199" s="86">
        <v>5748.06</v>
      </c>
      <c r="H199" s="86">
        <v>33308.85</v>
      </c>
      <c r="I199" s="86">
        <v>4996.33</v>
      </c>
      <c r="J199" s="86"/>
      <c r="K199" s="86">
        <f t="shared" si="18"/>
        <v>751.73000000000047</v>
      </c>
      <c r="L199" s="86"/>
      <c r="M199" s="18"/>
      <c r="N199" s="28"/>
      <c r="O199" s="83">
        <f t="shared" si="17"/>
        <v>-2.7284841053187847E-12</v>
      </c>
    </row>
    <row r="200" spans="1:15" x14ac:dyDescent="0.25">
      <c r="A200" s="32"/>
      <c r="B200" s="3" t="s">
        <v>76</v>
      </c>
      <c r="C200" s="21" t="s">
        <v>77</v>
      </c>
      <c r="D200" s="80" t="s">
        <v>131</v>
      </c>
      <c r="E200" s="80">
        <v>42166</v>
      </c>
      <c r="F200" s="86">
        <v>3705.83</v>
      </c>
      <c r="G200" s="86">
        <v>448.5</v>
      </c>
      <c r="H200" s="86">
        <v>3705.83</v>
      </c>
      <c r="I200" s="86">
        <v>448.5</v>
      </c>
      <c r="J200" s="86"/>
      <c r="K200" s="86">
        <f t="shared" si="18"/>
        <v>0</v>
      </c>
      <c r="L200" s="86"/>
      <c r="M200" s="18"/>
      <c r="N200" s="28"/>
      <c r="O200" s="83">
        <f t="shared" ref="O200:O255" si="19">(F200+G200)-H200-I200-J200-K200-L200-M200-N200</f>
        <v>0</v>
      </c>
    </row>
    <row r="201" spans="1:15" x14ac:dyDescent="0.25">
      <c r="A201" s="32"/>
      <c r="B201" s="3" t="s">
        <v>49</v>
      </c>
      <c r="C201" s="21" t="s">
        <v>50</v>
      </c>
      <c r="D201" s="80" t="s">
        <v>131</v>
      </c>
      <c r="E201" s="80">
        <v>42170</v>
      </c>
      <c r="F201" s="86">
        <v>14773.69</v>
      </c>
      <c r="G201" s="86">
        <v>968.8</v>
      </c>
      <c r="H201" s="86">
        <v>14773.69</v>
      </c>
      <c r="I201" s="86">
        <v>968.8</v>
      </c>
      <c r="J201" s="86"/>
      <c r="K201" s="86">
        <f t="shared" si="18"/>
        <v>0</v>
      </c>
      <c r="L201" s="86"/>
      <c r="M201" s="18"/>
      <c r="N201" s="28"/>
      <c r="O201" s="83">
        <f t="shared" si="19"/>
        <v>-6.8212102632969618E-13</v>
      </c>
    </row>
    <row r="202" spans="1:15" x14ac:dyDescent="0.25">
      <c r="A202" s="32"/>
      <c r="B202" s="3" t="s">
        <v>18</v>
      </c>
      <c r="C202" s="21" t="s">
        <v>19</v>
      </c>
      <c r="D202" s="80" t="s">
        <v>131</v>
      </c>
      <c r="E202" s="80">
        <v>42178</v>
      </c>
      <c r="F202" s="86">
        <v>40802.57</v>
      </c>
      <c r="G202" s="86">
        <v>14715</v>
      </c>
      <c r="H202" s="86">
        <v>40802.57</v>
      </c>
      <c r="I202" s="86">
        <v>4263.25</v>
      </c>
      <c r="J202" s="86"/>
      <c r="K202" s="86">
        <f t="shared" si="18"/>
        <v>10451.75</v>
      </c>
      <c r="L202" s="86"/>
      <c r="M202" s="18"/>
      <c r="N202" s="28"/>
      <c r="O202" s="83">
        <f t="shared" si="19"/>
        <v>0</v>
      </c>
    </row>
    <row r="203" spans="1:15" x14ac:dyDescent="0.25">
      <c r="A203" s="32"/>
      <c r="B203" s="3" t="s">
        <v>79</v>
      </c>
      <c r="C203" s="21" t="s">
        <v>87</v>
      </c>
      <c r="D203" s="80" t="s">
        <v>131</v>
      </c>
      <c r="E203" s="80">
        <v>42185</v>
      </c>
      <c r="F203" s="86">
        <v>7011.55</v>
      </c>
      <c r="G203" s="86">
        <v>3880.82</v>
      </c>
      <c r="H203" s="86">
        <v>7011.55</v>
      </c>
      <c r="I203" s="86">
        <v>1051.73</v>
      </c>
      <c r="J203" s="86"/>
      <c r="K203" s="86">
        <f t="shared" si="18"/>
        <v>2829.09</v>
      </c>
      <c r="L203" s="86"/>
      <c r="M203" s="18"/>
      <c r="N203" s="28"/>
      <c r="O203" s="83">
        <f t="shared" si="19"/>
        <v>4.5474735088646412E-13</v>
      </c>
    </row>
    <row r="204" spans="1:15" x14ac:dyDescent="0.25">
      <c r="A204" s="32"/>
      <c r="B204" s="3" t="s">
        <v>47</v>
      </c>
      <c r="C204" s="21" t="s">
        <v>48</v>
      </c>
      <c r="D204" s="80" t="s">
        <v>131</v>
      </c>
      <c r="E204" s="80">
        <v>42172</v>
      </c>
      <c r="F204" s="86">
        <v>451.69</v>
      </c>
      <c r="G204" s="86">
        <v>989.15</v>
      </c>
      <c r="H204" s="86">
        <v>451.69</v>
      </c>
      <c r="I204" s="86">
        <v>67.75</v>
      </c>
      <c r="J204" s="86"/>
      <c r="K204" s="86">
        <f t="shared" si="18"/>
        <v>921.4</v>
      </c>
      <c r="L204" s="86"/>
      <c r="M204" s="18"/>
      <c r="N204" s="28"/>
      <c r="O204" s="83">
        <f t="shared" si="19"/>
        <v>-1.1368683772161603E-13</v>
      </c>
    </row>
    <row r="205" spans="1:15" x14ac:dyDescent="0.25">
      <c r="A205" s="32"/>
      <c r="B205" s="3" t="s">
        <v>45</v>
      </c>
      <c r="C205" s="21" t="s">
        <v>46</v>
      </c>
      <c r="D205" s="80" t="s">
        <v>153</v>
      </c>
      <c r="E205" s="80">
        <v>42184</v>
      </c>
      <c r="F205" s="86">
        <v>8234.81</v>
      </c>
      <c r="G205" s="86">
        <v>1615</v>
      </c>
      <c r="H205" s="86">
        <v>8234.81</v>
      </c>
      <c r="I205" s="86">
        <v>1235.22</v>
      </c>
      <c r="J205" s="86"/>
      <c r="K205" s="86">
        <f t="shared" si="18"/>
        <v>379.78</v>
      </c>
      <c r="L205" s="86"/>
      <c r="M205" s="18"/>
      <c r="N205" s="28"/>
      <c r="O205" s="83">
        <f t="shared" si="19"/>
        <v>0</v>
      </c>
    </row>
    <row r="206" spans="1:15" x14ac:dyDescent="0.25">
      <c r="A206" s="32"/>
      <c r="B206" s="3" t="s">
        <v>16</v>
      </c>
      <c r="C206" s="21" t="s">
        <v>17</v>
      </c>
      <c r="D206" s="80" t="s">
        <v>153</v>
      </c>
      <c r="E206" s="80">
        <v>42188</v>
      </c>
      <c r="F206" s="86">
        <v>40279.14</v>
      </c>
      <c r="G206" s="86">
        <v>3037.5</v>
      </c>
      <c r="H206" s="86">
        <v>40279.14</v>
      </c>
      <c r="I206" s="86">
        <v>3037.5</v>
      </c>
      <c r="J206" s="86"/>
      <c r="K206" s="86">
        <f t="shared" si="18"/>
        <v>0</v>
      </c>
      <c r="L206" s="86"/>
      <c r="M206" s="18"/>
      <c r="N206" s="28"/>
      <c r="O206" s="83">
        <f t="shared" si="19"/>
        <v>0</v>
      </c>
    </row>
    <row r="207" spans="1:15" x14ac:dyDescent="0.25">
      <c r="A207" s="32"/>
      <c r="B207" s="3" t="s">
        <v>62</v>
      </c>
      <c r="C207" s="21" t="s">
        <v>63</v>
      </c>
      <c r="D207" s="80" t="s">
        <v>153</v>
      </c>
      <c r="E207" s="80">
        <v>42199</v>
      </c>
      <c r="F207" s="86">
        <v>84265.79</v>
      </c>
      <c r="G207" s="86">
        <v>45318.55</v>
      </c>
      <c r="H207" s="86">
        <v>84265.79</v>
      </c>
      <c r="I207" s="86">
        <v>12639.87</v>
      </c>
      <c r="J207" s="86"/>
      <c r="K207" s="86">
        <f t="shared" si="18"/>
        <v>32678.68</v>
      </c>
      <c r="L207" s="86"/>
      <c r="M207" s="86"/>
      <c r="N207" s="28"/>
      <c r="O207" s="83">
        <f t="shared" si="19"/>
        <v>0</v>
      </c>
    </row>
    <row r="208" spans="1:15" x14ac:dyDescent="0.25">
      <c r="A208" s="32"/>
      <c r="B208" s="3" t="s">
        <v>62</v>
      </c>
      <c r="C208" s="21" t="s">
        <v>35</v>
      </c>
      <c r="D208" s="80" t="s">
        <v>153</v>
      </c>
      <c r="E208" s="80">
        <v>42199</v>
      </c>
      <c r="F208" s="86">
        <v>56251.68</v>
      </c>
      <c r="G208" s="86">
        <v>8757.67</v>
      </c>
      <c r="H208" s="86">
        <v>56251.68</v>
      </c>
      <c r="I208" s="86">
        <v>8437.75</v>
      </c>
      <c r="J208" s="86"/>
      <c r="K208" s="86">
        <f t="shared" si="18"/>
        <v>319.92000000000007</v>
      </c>
      <c r="L208" s="86"/>
      <c r="M208" s="86"/>
      <c r="N208" s="28"/>
      <c r="O208" s="83">
        <f t="shared" si="19"/>
        <v>-1.8189894035458565E-12</v>
      </c>
    </row>
    <row r="209" spans="1:15" x14ac:dyDescent="0.25">
      <c r="A209" s="32"/>
      <c r="B209" s="3" t="s">
        <v>62</v>
      </c>
      <c r="C209" s="21" t="s">
        <v>36</v>
      </c>
      <c r="D209" s="80" t="s">
        <v>153</v>
      </c>
      <c r="E209" s="80">
        <v>42199</v>
      </c>
      <c r="F209" s="86">
        <v>70831.89</v>
      </c>
      <c r="G209" s="86">
        <v>28836.080000000002</v>
      </c>
      <c r="H209" s="86">
        <v>70831.89</v>
      </c>
      <c r="I209" s="86">
        <v>10624.78</v>
      </c>
      <c r="J209" s="86"/>
      <c r="K209" s="86">
        <f t="shared" si="18"/>
        <v>18211.300000000003</v>
      </c>
      <c r="L209" s="86"/>
      <c r="M209" s="86"/>
      <c r="N209" s="28"/>
      <c r="O209" s="83">
        <f t="shared" si="19"/>
        <v>0</v>
      </c>
    </row>
    <row r="210" spans="1:15" x14ac:dyDescent="0.25">
      <c r="A210" s="32"/>
      <c r="B210" s="3" t="s">
        <v>12</v>
      </c>
      <c r="C210" s="21" t="s">
        <v>13</v>
      </c>
      <c r="D210" s="80" t="s">
        <v>132</v>
      </c>
      <c r="E210" s="80">
        <v>42200</v>
      </c>
      <c r="F210" s="86">
        <v>54386.36</v>
      </c>
      <c r="G210" s="86">
        <v>4872.51</v>
      </c>
      <c r="H210" s="86">
        <v>54386.36</v>
      </c>
      <c r="I210" s="86">
        <v>4872.51</v>
      </c>
      <c r="J210" s="86"/>
      <c r="K210" s="86">
        <v>0</v>
      </c>
      <c r="L210" s="86"/>
      <c r="M210" s="86"/>
      <c r="N210" s="28"/>
      <c r="O210" s="83">
        <f t="shared" si="19"/>
        <v>1.8189894035458565E-12</v>
      </c>
    </row>
    <row r="211" spans="1:15" x14ac:dyDescent="0.25">
      <c r="A211" s="32"/>
      <c r="B211" s="3" t="s">
        <v>18</v>
      </c>
      <c r="C211" s="21" t="s">
        <v>19</v>
      </c>
      <c r="D211" s="80" t="s">
        <v>132</v>
      </c>
      <c r="E211" s="80">
        <v>42200</v>
      </c>
      <c r="F211" s="86">
        <v>56954.16</v>
      </c>
      <c r="G211" s="86">
        <v>15930</v>
      </c>
      <c r="H211" s="86">
        <v>56954.16</v>
      </c>
      <c r="I211" s="86">
        <v>8543.1200000000008</v>
      </c>
      <c r="J211" s="86"/>
      <c r="K211" s="86">
        <f>G211-I211</f>
        <v>7386.8799999999992</v>
      </c>
      <c r="L211" s="86"/>
      <c r="M211" s="86"/>
      <c r="N211" s="28"/>
      <c r="O211" s="83">
        <f t="shared" si="19"/>
        <v>0</v>
      </c>
    </row>
    <row r="212" spans="1:15" x14ac:dyDescent="0.25">
      <c r="A212" s="32"/>
      <c r="B212" s="3" t="s">
        <v>20</v>
      </c>
      <c r="C212" s="21" t="s">
        <v>21</v>
      </c>
      <c r="D212" s="80" t="s">
        <v>153</v>
      </c>
      <c r="E212" s="80">
        <v>42200</v>
      </c>
      <c r="F212" s="86">
        <v>27071.79</v>
      </c>
      <c r="G212" s="86">
        <v>7422.14</v>
      </c>
      <c r="H212" s="86">
        <v>27071.79</v>
      </c>
      <c r="I212" s="86">
        <v>4060.77</v>
      </c>
      <c r="J212" s="86"/>
      <c r="K212" s="86">
        <f>G212-I212</f>
        <v>3361.3700000000003</v>
      </c>
      <c r="M212" s="86"/>
      <c r="N212" s="28"/>
      <c r="O212" s="83">
        <f t="shared" si="19"/>
        <v>-9.0949470177292824E-13</v>
      </c>
    </row>
    <row r="213" spans="1:15" x14ac:dyDescent="0.25">
      <c r="A213" s="32"/>
      <c r="B213" s="3" t="s">
        <v>60</v>
      </c>
      <c r="C213" s="21" t="s">
        <v>61</v>
      </c>
      <c r="D213" s="80" t="s">
        <v>153</v>
      </c>
      <c r="E213" s="80">
        <v>42205</v>
      </c>
      <c r="F213" s="86">
        <v>4644.97</v>
      </c>
      <c r="G213" s="86">
        <v>510.97</v>
      </c>
      <c r="H213" s="86">
        <v>4644.97</v>
      </c>
      <c r="I213" s="86">
        <v>510.97</v>
      </c>
      <c r="J213" s="86"/>
      <c r="K213" s="86">
        <f>G213-I213</f>
        <v>0</v>
      </c>
      <c r="L213" s="86"/>
      <c r="M213" s="86"/>
      <c r="N213" s="28"/>
      <c r="O213" s="83">
        <f t="shared" si="19"/>
        <v>2.2737367544323206E-13</v>
      </c>
    </row>
    <row r="214" spans="1:15" x14ac:dyDescent="0.25">
      <c r="A214" s="32"/>
      <c r="B214" s="3" t="s">
        <v>66</v>
      </c>
      <c r="C214" s="21" t="s">
        <v>67</v>
      </c>
      <c r="D214" s="80" t="s">
        <v>153</v>
      </c>
      <c r="E214" s="80">
        <v>42206</v>
      </c>
      <c r="F214" s="86">
        <v>23399.89</v>
      </c>
      <c r="G214" s="86">
        <v>5196.84</v>
      </c>
      <c r="H214" s="86">
        <v>23399.89</v>
      </c>
      <c r="I214" s="86">
        <v>3509.98</v>
      </c>
      <c r="J214" s="86"/>
      <c r="K214" s="86">
        <f>G214-I214</f>
        <v>1686.8600000000001</v>
      </c>
      <c r="L214" s="86"/>
      <c r="M214" s="86"/>
      <c r="N214" s="28"/>
      <c r="O214" s="83">
        <f t="shared" si="19"/>
        <v>0</v>
      </c>
    </row>
    <row r="215" spans="1:15" x14ac:dyDescent="0.25">
      <c r="A215" s="32"/>
      <c r="B215" s="3" t="s">
        <v>49</v>
      </c>
      <c r="C215" s="21" t="s">
        <v>50</v>
      </c>
      <c r="D215" s="80" t="s">
        <v>132</v>
      </c>
      <c r="E215" s="80">
        <v>42206</v>
      </c>
      <c r="F215" s="86">
        <v>14644.33</v>
      </c>
      <c r="G215" s="86">
        <v>1255.95</v>
      </c>
      <c r="H215" s="86">
        <v>14644.33</v>
      </c>
      <c r="I215" s="86">
        <v>1200.95</v>
      </c>
      <c r="J215" s="86"/>
      <c r="K215" s="86">
        <f>G215-I215</f>
        <v>55</v>
      </c>
      <c r="M215" s="86"/>
      <c r="N215" s="28"/>
      <c r="O215" s="83">
        <f t="shared" si="19"/>
        <v>6.8212102632969618E-13</v>
      </c>
    </row>
    <row r="216" spans="1:15" x14ac:dyDescent="0.25">
      <c r="A216" s="32"/>
      <c r="B216" s="3" t="s">
        <v>51</v>
      </c>
      <c r="C216" s="21" t="s">
        <v>52</v>
      </c>
      <c r="D216" s="80" t="s">
        <v>153</v>
      </c>
      <c r="E216" s="80">
        <v>42207</v>
      </c>
      <c r="F216" s="86">
        <v>190675.6</v>
      </c>
      <c r="G216" s="86">
        <v>27688.959999999999</v>
      </c>
      <c r="H216" s="86">
        <v>190675.6</v>
      </c>
      <c r="I216" s="86">
        <v>27688.959999999999</v>
      </c>
      <c r="J216" s="86"/>
      <c r="K216" s="86"/>
      <c r="L216" s="86"/>
      <c r="M216" s="86"/>
      <c r="N216" s="28"/>
      <c r="O216" s="83">
        <f t="shared" si="19"/>
        <v>-7.2759576141834259E-12</v>
      </c>
    </row>
    <row r="217" spans="1:15" x14ac:dyDescent="0.25">
      <c r="A217" s="32"/>
      <c r="B217" s="3" t="s">
        <v>120</v>
      </c>
      <c r="C217" s="21" t="s">
        <v>68</v>
      </c>
      <c r="D217" s="80" t="s">
        <v>153</v>
      </c>
      <c r="E217" s="80">
        <v>42207</v>
      </c>
      <c r="F217" s="86">
        <v>15026.35</v>
      </c>
      <c r="G217" s="86">
        <v>1611.71</v>
      </c>
      <c r="H217" s="86">
        <v>15026.35</v>
      </c>
      <c r="I217" s="86">
        <v>1611.71</v>
      </c>
      <c r="J217" s="86"/>
      <c r="K217" s="86">
        <f t="shared" ref="K217" si="20">G217-I217</f>
        <v>0</v>
      </c>
      <c r="M217" s="86"/>
      <c r="N217" s="28"/>
      <c r="O217" s="83">
        <f t="shared" si="19"/>
        <v>9.0949470177292824E-13</v>
      </c>
    </row>
    <row r="218" spans="1:15" x14ac:dyDescent="0.25">
      <c r="A218" s="32"/>
      <c r="B218" s="3" t="s">
        <v>81</v>
      </c>
      <c r="C218" s="21" t="s">
        <v>89</v>
      </c>
      <c r="D218" s="80" t="s">
        <v>132</v>
      </c>
      <c r="E218" s="80">
        <v>42208</v>
      </c>
      <c r="F218" s="86">
        <v>41957.57</v>
      </c>
      <c r="G218" s="86">
        <v>0</v>
      </c>
      <c r="H218" s="86">
        <v>41957.57</v>
      </c>
      <c r="I218" s="86">
        <v>0</v>
      </c>
      <c r="J218" s="86"/>
      <c r="K218" s="86">
        <f>G218-I218</f>
        <v>0</v>
      </c>
      <c r="L218" s="86"/>
      <c r="M218" s="86"/>
      <c r="N218" s="28"/>
      <c r="O218" s="83">
        <f t="shared" si="19"/>
        <v>0</v>
      </c>
    </row>
    <row r="219" spans="1:15" x14ac:dyDescent="0.25">
      <c r="A219" s="32"/>
      <c r="B219" s="3" t="s">
        <v>22</v>
      </c>
      <c r="C219" s="21" t="s">
        <v>23</v>
      </c>
      <c r="D219" s="80" t="s">
        <v>153</v>
      </c>
      <c r="E219" s="80">
        <v>42209</v>
      </c>
      <c r="F219" s="86">
        <v>24198.44</v>
      </c>
      <c r="G219" s="86">
        <v>1437.5</v>
      </c>
      <c r="H219" s="86">
        <v>24198.44</v>
      </c>
      <c r="I219" s="86">
        <v>1437.5</v>
      </c>
      <c r="J219" s="86"/>
      <c r="K219" s="86">
        <v>0</v>
      </c>
      <c r="L219" s="86"/>
      <c r="M219" s="86"/>
      <c r="N219" s="28"/>
      <c r="O219" s="83">
        <f t="shared" si="19"/>
        <v>0</v>
      </c>
    </row>
    <row r="220" spans="1:15" x14ac:dyDescent="0.25">
      <c r="A220" s="32"/>
      <c r="B220" s="3" t="s">
        <v>82</v>
      </c>
      <c r="C220" s="21" t="s">
        <v>90</v>
      </c>
      <c r="D220" s="80" t="s">
        <v>155</v>
      </c>
      <c r="E220" s="80">
        <v>42212</v>
      </c>
      <c r="F220" s="86">
        <v>22006.01</v>
      </c>
      <c r="G220" s="86">
        <v>0</v>
      </c>
      <c r="H220" s="86">
        <v>22006.01</v>
      </c>
      <c r="I220" s="86">
        <v>0</v>
      </c>
      <c r="J220" s="86"/>
      <c r="K220" s="86">
        <f>G220-I220</f>
        <v>0</v>
      </c>
      <c r="L220" s="86"/>
      <c r="M220" s="18"/>
      <c r="N220" s="28"/>
      <c r="O220" s="83">
        <f t="shared" si="19"/>
        <v>0</v>
      </c>
    </row>
    <row r="221" spans="1:15" x14ac:dyDescent="0.25">
      <c r="A221" s="31"/>
      <c r="B221" s="9" t="s">
        <v>64</v>
      </c>
      <c r="C221" s="22" t="s">
        <v>65</v>
      </c>
      <c r="D221" s="10" t="s">
        <v>153</v>
      </c>
      <c r="E221" s="10">
        <v>42213</v>
      </c>
      <c r="F221" s="86">
        <v>10621.18</v>
      </c>
      <c r="G221" s="86">
        <v>724.83</v>
      </c>
      <c r="H221" s="86">
        <v>10621.18</v>
      </c>
      <c r="I221" s="86">
        <v>724.83</v>
      </c>
      <c r="J221" s="86"/>
      <c r="K221" s="86">
        <v>0</v>
      </c>
      <c r="L221" s="78"/>
      <c r="M221" s="4"/>
      <c r="N221" s="30"/>
      <c r="O221" s="83">
        <f t="shared" si="19"/>
        <v>-1.1368683772161603E-13</v>
      </c>
    </row>
    <row r="222" spans="1:15" x14ac:dyDescent="0.25">
      <c r="A222" s="32"/>
      <c r="B222" s="3" t="s">
        <v>56</v>
      </c>
      <c r="C222" s="21" t="s">
        <v>57</v>
      </c>
      <c r="D222" s="10" t="s">
        <v>153</v>
      </c>
      <c r="E222" s="10">
        <v>42214</v>
      </c>
      <c r="F222" s="86">
        <v>79042.11</v>
      </c>
      <c r="G222" s="7">
        <v>4768.0200000000004</v>
      </c>
      <c r="H222" s="86">
        <v>79042.11</v>
      </c>
      <c r="I222" s="7">
        <v>4768.0200000000004</v>
      </c>
      <c r="J222" s="86"/>
      <c r="K222" s="86">
        <f>G222-I222</f>
        <v>0</v>
      </c>
      <c r="L222" s="4"/>
      <c r="M222" s="86"/>
      <c r="N222" s="28"/>
      <c r="O222" s="83">
        <f t="shared" si="19"/>
        <v>3.637978807091713E-12</v>
      </c>
    </row>
    <row r="223" spans="1:15" x14ac:dyDescent="0.25">
      <c r="A223" s="31"/>
      <c r="B223" s="9" t="s">
        <v>76</v>
      </c>
      <c r="C223" s="22" t="s">
        <v>77</v>
      </c>
      <c r="D223" s="10" t="s">
        <v>132</v>
      </c>
      <c r="E223" s="10">
        <v>42214</v>
      </c>
      <c r="F223" s="86">
        <v>7793.34</v>
      </c>
      <c r="G223" s="86">
        <v>877.35</v>
      </c>
      <c r="H223" s="86">
        <v>7793.34</v>
      </c>
      <c r="I223" s="86">
        <v>877.35</v>
      </c>
      <c r="J223" s="86"/>
      <c r="K223" s="86">
        <f>G223-I223</f>
        <v>0</v>
      </c>
      <c r="L223" s="4"/>
      <c r="M223" s="86"/>
      <c r="N223" s="30"/>
      <c r="O223" s="83">
        <f t="shared" si="19"/>
        <v>3.4106051316484809E-13</v>
      </c>
    </row>
    <row r="224" spans="1:15" x14ac:dyDescent="0.25">
      <c r="A224" s="31"/>
      <c r="B224" s="79" t="s">
        <v>32</v>
      </c>
      <c r="C224" s="81" t="s">
        <v>33</v>
      </c>
      <c r="D224" s="80" t="s">
        <v>153</v>
      </c>
      <c r="E224" s="80">
        <v>42213</v>
      </c>
      <c r="F224" s="86">
        <v>4991.17</v>
      </c>
      <c r="G224" s="86">
        <v>1196.1300000000001</v>
      </c>
      <c r="H224" s="86">
        <v>4991.17</v>
      </c>
      <c r="I224" s="86">
        <v>1196.1300000000001</v>
      </c>
      <c r="J224" s="86"/>
      <c r="K224" s="86">
        <f>G224-I224</f>
        <v>0</v>
      </c>
      <c r="L224" s="86"/>
      <c r="M224" s="86"/>
      <c r="N224" s="82"/>
      <c r="O224" s="83">
        <f t="shared" si="19"/>
        <v>0</v>
      </c>
    </row>
    <row r="225" spans="1:15" x14ac:dyDescent="0.25">
      <c r="A225" s="31"/>
      <c r="B225" s="79" t="s">
        <v>149</v>
      </c>
      <c r="C225" s="81" t="s">
        <v>72</v>
      </c>
      <c r="D225" s="80" t="s">
        <v>155</v>
      </c>
      <c r="E225" s="80">
        <v>42213</v>
      </c>
      <c r="F225" s="86">
        <v>67437.539999999994</v>
      </c>
      <c r="G225" s="86">
        <v>8722.65</v>
      </c>
      <c r="H225" s="86">
        <v>67437.539999999994</v>
      </c>
      <c r="I225" s="86">
        <v>8722.65</v>
      </c>
      <c r="J225" s="86"/>
      <c r="K225" s="86"/>
      <c r="L225" s="86"/>
      <c r="M225" s="86"/>
      <c r="N225" s="82"/>
      <c r="O225" s="83">
        <f t="shared" si="19"/>
        <v>-5.4569682106375694E-12</v>
      </c>
    </row>
    <row r="226" spans="1:15" x14ac:dyDescent="0.25">
      <c r="A226" s="31"/>
      <c r="B226" s="79" t="s">
        <v>39</v>
      </c>
      <c r="C226" s="81" t="s">
        <v>40</v>
      </c>
      <c r="D226" s="80" t="s">
        <v>153</v>
      </c>
      <c r="E226" s="80">
        <v>42214</v>
      </c>
      <c r="F226" s="86">
        <v>44466.03</v>
      </c>
      <c r="G226" s="86">
        <v>0</v>
      </c>
      <c r="H226" s="86">
        <v>44466.03</v>
      </c>
      <c r="I226" s="86">
        <v>0</v>
      </c>
      <c r="J226" s="86"/>
      <c r="K226" s="86">
        <v>0</v>
      </c>
      <c r="L226" s="86"/>
      <c r="M226" s="86"/>
      <c r="N226" s="82"/>
      <c r="O226" s="83">
        <f t="shared" si="19"/>
        <v>0</v>
      </c>
    </row>
    <row r="227" spans="1:15" x14ac:dyDescent="0.25">
      <c r="A227" s="31"/>
      <c r="B227" s="79" t="s">
        <v>58</v>
      </c>
      <c r="C227" s="81" t="s">
        <v>59</v>
      </c>
      <c r="D227" s="80" t="s">
        <v>155</v>
      </c>
      <c r="E227" s="80">
        <v>42215</v>
      </c>
      <c r="F227" s="86">
        <v>114928.84</v>
      </c>
      <c r="G227" s="86">
        <v>20410.900000000001</v>
      </c>
      <c r="H227" s="86">
        <v>114928.84</v>
      </c>
      <c r="I227" s="86">
        <v>6495.69</v>
      </c>
      <c r="J227" s="86"/>
      <c r="K227" s="86">
        <f>G227-I227</f>
        <v>13915.210000000003</v>
      </c>
      <c r="L227" s="86"/>
      <c r="M227" s="86"/>
      <c r="N227" s="82"/>
      <c r="O227" s="83">
        <f t="shared" si="19"/>
        <v>-7.2759576141834259E-12</v>
      </c>
    </row>
    <row r="228" spans="1:15" x14ac:dyDescent="0.25">
      <c r="A228" s="31"/>
      <c r="B228" s="79" t="s">
        <v>6</v>
      </c>
      <c r="C228" s="81" t="s">
        <v>25</v>
      </c>
      <c r="D228" s="80" t="s">
        <v>153</v>
      </c>
      <c r="E228" s="80">
        <v>42215</v>
      </c>
      <c r="F228" s="86">
        <v>27979.919999999998</v>
      </c>
      <c r="G228" s="86">
        <v>142.04</v>
      </c>
      <c r="H228" s="86">
        <v>27979.919999999998</v>
      </c>
      <c r="I228" s="86">
        <v>142.04</v>
      </c>
      <c r="J228" s="86"/>
      <c r="K228" s="86">
        <v>0</v>
      </c>
      <c r="L228" s="86"/>
      <c r="M228" s="86"/>
      <c r="N228" s="82"/>
      <c r="O228" s="83">
        <f t="shared" si="19"/>
        <v>8.8107299234252423E-13</v>
      </c>
    </row>
    <row r="229" spans="1:15" x14ac:dyDescent="0.25">
      <c r="A229" s="31"/>
      <c r="B229" s="79" t="s">
        <v>6</v>
      </c>
      <c r="C229" s="81" t="s">
        <v>55</v>
      </c>
      <c r="D229" s="80" t="s">
        <v>153</v>
      </c>
      <c r="E229" s="80">
        <v>42215</v>
      </c>
      <c r="F229" s="86">
        <v>52960.13</v>
      </c>
      <c r="G229" s="86">
        <v>2553.39</v>
      </c>
      <c r="H229" s="86">
        <v>52960.13</v>
      </c>
      <c r="I229" s="86">
        <v>2553.39</v>
      </c>
      <c r="J229" s="86"/>
      <c r="K229" s="86">
        <v>0</v>
      </c>
      <c r="L229" s="86"/>
      <c r="M229" s="86"/>
      <c r="N229" s="82"/>
      <c r="O229" s="83">
        <f t="shared" si="19"/>
        <v>-4.5474735088646412E-13</v>
      </c>
    </row>
    <row r="230" spans="1:15" x14ac:dyDescent="0.25">
      <c r="A230" s="31"/>
      <c r="B230" s="79" t="s">
        <v>6</v>
      </c>
      <c r="C230" s="81" t="s">
        <v>7</v>
      </c>
      <c r="D230" s="80" t="s">
        <v>153</v>
      </c>
      <c r="E230" s="80">
        <v>42215</v>
      </c>
      <c r="F230" s="86">
        <v>75873.179999999993</v>
      </c>
      <c r="G230" s="86">
        <v>5625.86</v>
      </c>
      <c r="H230" s="86">
        <v>75873.179999999993</v>
      </c>
      <c r="I230" s="86">
        <v>5625.86</v>
      </c>
      <c r="J230" s="86"/>
      <c r="K230" s="86">
        <v>0</v>
      </c>
      <c r="L230" s="86"/>
      <c r="M230" s="86"/>
      <c r="N230" s="82"/>
      <c r="O230" s="83">
        <f t="shared" si="19"/>
        <v>9.0949470177292824E-13</v>
      </c>
    </row>
    <row r="231" spans="1:15" x14ac:dyDescent="0.25">
      <c r="A231" s="31"/>
      <c r="B231" s="79" t="s">
        <v>6</v>
      </c>
      <c r="C231" s="81" t="s">
        <v>8</v>
      </c>
      <c r="D231" s="80" t="s">
        <v>153</v>
      </c>
      <c r="E231" s="80">
        <v>42215</v>
      </c>
      <c r="F231" s="86">
        <v>87977.47</v>
      </c>
      <c r="G231" s="86">
        <v>9687.1</v>
      </c>
      <c r="H231" s="86">
        <v>87977.47</v>
      </c>
      <c r="I231" s="86">
        <v>9687.1</v>
      </c>
      <c r="J231" s="86"/>
      <c r="K231" s="86">
        <v>0</v>
      </c>
      <c r="L231" s="86"/>
      <c r="M231" s="86"/>
      <c r="N231" s="82"/>
      <c r="O231" s="83">
        <f t="shared" si="19"/>
        <v>5.4569682106375694E-12</v>
      </c>
    </row>
    <row r="232" spans="1:15" x14ac:dyDescent="0.25">
      <c r="A232" s="31"/>
      <c r="B232" s="79" t="s">
        <v>6</v>
      </c>
      <c r="C232" s="81" t="s">
        <v>9</v>
      </c>
      <c r="D232" s="80" t="s">
        <v>153</v>
      </c>
      <c r="E232" s="80">
        <v>42215</v>
      </c>
      <c r="F232" s="86">
        <v>56932.78</v>
      </c>
      <c r="G232" s="86">
        <v>1800.87</v>
      </c>
      <c r="H232" s="86">
        <v>56932.78</v>
      </c>
      <c r="I232" s="86">
        <v>1800.87</v>
      </c>
      <c r="J232" s="86"/>
      <c r="K232" s="86">
        <f>G232-I232</f>
        <v>0</v>
      </c>
      <c r="L232" s="86"/>
      <c r="M232" s="86"/>
      <c r="N232" s="82"/>
      <c r="O232" s="83">
        <f t="shared" si="19"/>
        <v>2.7284841053187847E-12</v>
      </c>
    </row>
    <row r="233" spans="1:15" x14ac:dyDescent="0.25">
      <c r="A233" s="31"/>
      <c r="B233" s="79" t="s">
        <v>6</v>
      </c>
      <c r="C233" s="81" t="s">
        <v>88</v>
      </c>
      <c r="D233" s="80" t="s">
        <v>153</v>
      </c>
      <c r="E233" s="80">
        <v>42215</v>
      </c>
      <c r="F233" s="86">
        <v>88901.41</v>
      </c>
      <c r="G233" s="86">
        <v>12938.17</v>
      </c>
      <c r="H233" s="86">
        <v>88901.41</v>
      </c>
      <c r="I233" s="86">
        <v>12938.17</v>
      </c>
      <c r="J233" s="86"/>
      <c r="K233" s="86">
        <v>0</v>
      </c>
      <c r="L233" s="86"/>
      <c r="M233" s="86"/>
      <c r="N233" s="82"/>
      <c r="O233" s="83">
        <f t="shared" si="19"/>
        <v>-1.8189894035458565E-12</v>
      </c>
    </row>
    <row r="234" spans="1:15" x14ac:dyDescent="0.25">
      <c r="A234" s="31"/>
      <c r="B234" s="79" t="s">
        <v>6</v>
      </c>
      <c r="C234" s="81" t="s">
        <v>14</v>
      </c>
      <c r="D234" s="80" t="s">
        <v>153</v>
      </c>
      <c r="E234" s="80">
        <v>42215</v>
      </c>
      <c r="F234" s="86">
        <v>81932.820000000007</v>
      </c>
      <c r="G234" s="86">
        <v>12012.79</v>
      </c>
      <c r="H234" s="86">
        <v>81932.820000000007</v>
      </c>
      <c r="I234" s="86">
        <v>12012.79</v>
      </c>
      <c r="J234" s="86"/>
      <c r="K234" s="86">
        <v>0</v>
      </c>
      <c r="L234" s="86"/>
      <c r="M234" s="86"/>
      <c r="N234" s="82"/>
      <c r="O234" s="83">
        <f t="shared" si="19"/>
        <v>7.2759576141834259E-12</v>
      </c>
    </row>
    <row r="235" spans="1:15" x14ac:dyDescent="0.25">
      <c r="A235" s="31"/>
      <c r="B235" s="79" t="s">
        <v>6</v>
      </c>
      <c r="C235" s="81" t="s">
        <v>15</v>
      </c>
      <c r="D235" s="80" t="s">
        <v>153</v>
      </c>
      <c r="E235" s="80">
        <v>42215</v>
      </c>
      <c r="F235" s="86">
        <v>39744.43</v>
      </c>
      <c r="G235" s="86">
        <v>3157.11</v>
      </c>
      <c r="H235" s="86">
        <v>39744.43</v>
      </c>
      <c r="I235" s="86">
        <v>3157.11</v>
      </c>
      <c r="J235" s="86"/>
      <c r="K235" s="86">
        <v>0</v>
      </c>
      <c r="L235" s="86"/>
      <c r="M235" s="86"/>
      <c r="N235" s="82"/>
      <c r="O235" s="83">
        <f t="shared" si="19"/>
        <v>4.5474735088646412E-13</v>
      </c>
    </row>
    <row r="236" spans="1:15" x14ac:dyDescent="0.25">
      <c r="A236" s="31"/>
      <c r="B236" s="79" t="s">
        <v>6</v>
      </c>
      <c r="C236" s="81" t="s">
        <v>26</v>
      </c>
      <c r="D236" s="80" t="s">
        <v>153</v>
      </c>
      <c r="E236" s="80">
        <v>42215</v>
      </c>
      <c r="F236" s="86">
        <v>30217.99</v>
      </c>
      <c r="G236" s="86">
        <v>2703.59</v>
      </c>
      <c r="H236" s="86">
        <v>30217.99</v>
      </c>
      <c r="I236" s="86">
        <v>2703.59</v>
      </c>
      <c r="J236" s="86"/>
      <c r="K236" s="86">
        <v>0</v>
      </c>
      <c r="L236" s="86"/>
      <c r="M236" s="86"/>
      <c r="N236" s="82"/>
      <c r="O236" s="83">
        <f t="shared" si="19"/>
        <v>0</v>
      </c>
    </row>
    <row r="237" spans="1:15" x14ac:dyDescent="0.25">
      <c r="A237" s="31"/>
      <c r="B237" s="79" t="s">
        <v>6</v>
      </c>
      <c r="C237" s="81" t="s">
        <v>27</v>
      </c>
      <c r="D237" s="80" t="s">
        <v>153</v>
      </c>
      <c r="E237" s="80">
        <v>42215</v>
      </c>
      <c r="F237" s="86">
        <v>28413.16</v>
      </c>
      <c r="G237" s="86">
        <v>1904.24</v>
      </c>
      <c r="H237" s="86">
        <v>28413.16</v>
      </c>
      <c r="I237" s="86">
        <v>1904.24</v>
      </c>
      <c r="J237" s="86"/>
      <c r="K237" s="86">
        <v>0</v>
      </c>
      <c r="L237" s="86"/>
      <c r="M237" s="86"/>
      <c r="N237" s="82"/>
      <c r="O237" s="83">
        <f t="shared" si="19"/>
        <v>1.5916157281026244E-12</v>
      </c>
    </row>
    <row r="238" spans="1:15" x14ac:dyDescent="0.25">
      <c r="A238" s="31"/>
      <c r="B238" s="79" t="s">
        <v>6</v>
      </c>
      <c r="C238" s="81" t="s">
        <v>73</v>
      </c>
      <c r="D238" s="80" t="s">
        <v>153</v>
      </c>
      <c r="E238" s="80">
        <v>42215</v>
      </c>
      <c r="F238" s="86">
        <v>50152.79</v>
      </c>
      <c r="G238" s="86">
        <v>5608.39</v>
      </c>
      <c r="H238" s="86">
        <v>50152.79</v>
      </c>
      <c r="I238" s="86">
        <v>5608.39</v>
      </c>
      <c r="J238" s="86"/>
      <c r="K238" s="86">
        <v>0</v>
      </c>
      <c r="L238" s="86"/>
      <c r="M238" s="86"/>
      <c r="N238" s="82"/>
      <c r="O238" s="83">
        <f t="shared" si="19"/>
        <v>-9.0949470177292824E-13</v>
      </c>
    </row>
    <row r="239" spans="1:15" x14ac:dyDescent="0.25">
      <c r="A239" s="31"/>
      <c r="B239" s="79" t="s">
        <v>6</v>
      </c>
      <c r="C239" s="81" t="s">
        <v>30</v>
      </c>
      <c r="D239" s="80" t="s">
        <v>153</v>
      </c>
      <c r="E239" s="80">
        <v>42215</v>
      </c>
      <c r="F239" s="86">
        <v>29848.01</v>
      </c>
      <c r="G239" s="86">
        <v>579.37</v>
      </c>
      <c r="H239" s="86">
        <v>29848.01</v>
      </c>
      <c r="I239" s="86">
        <v>579.37</v>
      </c>
      <c r="J239" s="86"/>
      <c r="K239" s="86">
        <v>0</v>
      </c>
      <c r="L239" s="86"/>
      <c r="M239" s="86"/>
      <c r="N239" s="82"/>
      <c r="O239" s="83">
        <f t="shared" si="19"/>
        <v>-1.0231815394945443E-12</v>
      </c>
    </row>
    <row r="240" spans="1:15" x14ac:dyDescent="0.25">
      <c r="A240" s="31"/>
      <c r="B240" s="79" t="s">
        <v>6</v>
      </c>
      <c r="C240" s="81" t="s">
        <v>28</v>
      </c>
      <c r="D240" s="80" t="s">
        <v>153</v>
      </c>
      <c r="E240" s="80">
        <v>42215</v>
      </c>
      <c r="F240" s="86">
        <v>25317.56</v>
      </c>
      <c r="G240" s="86">
        <v>2367.31</v>
      </c>
      <c r="H240" s="86">
        <v>25317.56</v>
      </c>
      <c r="I240" s="86">
        <v>2367.31</v>
      </c>
      <c r="J240" s="86"/>
      <c r="K240" s="86">
        <v>0</v>
      </c>
      <c r="L240" s="86"/>
      <c r="M240" s="86"/>
      <c r="N240" s="82"/>
      <c r="O240" s="83">
        <f t="shared" si="19"/>
        <v>1.3642420526593924E-12</v>
      </c>
    </row>
    <row r="241" spans="1:15" x14ac:dyDescent="0.25">
      <c r="A241" s="31"/>
      <c r="B241" s="79" t="s">
        <v>6</v>
      </c>
      <c r="C241" s="81" t="s">
        <v>10</v>
      </c>
      <c r="D241" s="80" t="s">
        <v>153</v>
      </c>
      <c r="E241" s="80">
        <v>42215</v>
      </c>
      <c r="F241" s="86">
        <v>52153.59</v>
      </c>
      <c r="G241" s="86">
        <v>3975.7</v>
      </c>
      <c r="H241" s="86">
        <v>52153.59</v>
      </c>
      <c r="I241" s="86">
        <v>3975.7</v>
      </c>
      <c r="J241" s="86"/>
      <c r="K241" s="86">
        <f>G241-I241</f>
        <v>0</v>
      </c>
      <c r="L241" s="86"/>
      <c r="M241" s="86"/>
      <c r="N241" s="82"/>
      <c r="O241" s="83">
        <f t="shared" si="19"/>
        <v>-2.7284841053187847E-12</v>
      </c>
    </row>
    <row r="242" spans="1:15" x14ac:dyDescent="0.25">
      <c r="A242" s="31"/>
      <c r="B242" s="79" t="s">
        <v>6</v>
      </c>
      <c r="C242" s="81" t="s">
        <v>11</v>
      </c>
      <c r="D242" s="80" t="s">
        <v>153</v>
      </c>
      <c r="E242" s="80">
        <v>42215</v>
      </c>
      <c r="F242" s="86">
        <v>166261.56</v>
      </c>
      <c r="G242" s="86">
        <v>22247.67</v>
      </c>
      <c r="H242" s="86">
        <v>166261.56</v>
      </c>
      <c r="I242" s="86">
        <v>22247.67</v>
      </c>
      <c r="J242" s="86"/>
      <c r="K242" s="86">
        <v>0</v>
      </c>
      <c r="L242" s="86"/>
      <c r="M242" s="86"/>
      <c r="N242" s="82"/>
      <c r="O242" s="83">
        <f t="shared" si="19"/>
        <v>-1.4551915228366852E-11</v>
      </c>
    </row>
    <row r="243" spans="1:15" x14ac:dyDescent="0.25">
      <c r="A243" s="31"/>
      <c r="B243" s="79" t="s">
        <v>6</v>
      </c>
      <c r="C243" s="81" t="s">
        <v>91</v>
      </c>
      <c r="D243" s="80" t="s">
        <v>153</v>
      </c>
      <c r="E243" s="80">
        <v>42215</v>
      </c>
      <c r="F243" s="86">
        <v>42689.32</v>
      </c>
      <c r="G243" s="86">
        <v>5294.51</v>
      </c>
      <c r="H243" s="86">
        <v>42689.32</v>
      </c>
      <c r="I243" s="86">
        <v>5294.51</v>
      </c>
      <c r="J243" s="86"/>
      <c r="K243" s="86">
        <v>0</v>
      </c>
      <c r="L243" s="86"/>
      <c r="M243" s="86"/>
      <c r="N243" s="82"/>
      <c r="O243" s="83">
        <f t="shared" si="19"/>
        <v>1.8189894035458565E-12</v>
      </c>
    </row>
    <row r="244" spans="1:15" x14ac:dyDescent="0.25">
      <c r="A244" s="31"/>
      <c r="B244" s="79" t="s">
        <v>6</v>
      </c>
      <c r="C244" s="81" t="s">
        <v>31</v>
      </c>
      <c r="D244" s="80" t="s">
        <v>153</v>
      </c>
      <c r="E244" s="80">
        <v>42215</v>
      </c>
      <c r="F244" s="86">
        <v>16278.2</v>
      </c>
      <c r="G244" s="86">
        <v>9.5299999999999994</v>
      </c>
      <c r="H244" s="86">
        <v>16278.2</v>
      </c>
      <c r="I244" s="86">
        <v>9.5299999999999994</v>
      </c>
      <c r="J244" s="86"/>
      <c r="K244" s="86"/>
      <c r="L244" s="86"/>
      <c r="M244" s="86"/>
      <c r="N244" s="82"/>
      <c r="O244" s="83">
        <f t="shared" si="19"/>
        <v>6.5547567373869242E-13</v>
      </c>
    </row>
    <row r="245" spans="1:15" x14ac:dyDescent="0.25">
      <c r="A245" s="31"/>
      <c r="B245" s="3" t="s">
        <v>6</v>
      </c>
      <c r="C245" s="22" t="s">
        <v>24</v>
      </c>
      <c r="D245" s="80" t="s">
        <v>153</v>
      </c>
      <c r="E245" s="80">
        <v>42215</v>
      </c>
      <c r="F245" s="86">
        <v>21517.94</v>
      </c>
      <c r="G245" s="86">
        <v>1188.17</v>
      </c>
      <c r="H245" s="86">
        <v>21517.94</v>
      </c>
      <c r="I245" s="86">
        <v>1188.17</v>
      </c>
      <c r="J245" s="86"/>
      <c r="K245" s="78">
        <v>0</v>
      </c>
      <c r="L245" s="4"/>
      <c r="M245" s="86"/>
      <c r="N245" s="30"/>
      <c r="O245" s="83">
        <f t="shared" si="19"/>
        <v>1.8189894035458565E-12</v>
      </c>
    </row>
    <row r="246" spans="1:15" x14ac:dyDescent="0.25">
      <c r="A246" s="32"/>
      <c r="B246" s="3" t="s">
        <v>6</v>
      </c>
      <c r="C246" s="21" t="s">
        <v>29</v>
      </c>
      <c r="D246" s="80" t="s">
        <v>153</v>
      </c>
      <c r="E246" s="80">
        <v>42215</v>
      </c>
      <c r="F246" s="86">
        <v>25590.2</v>
      </c>
      <c r="G246" s="86">
        <v>1600.81</v>
      </c>
      <c r="H246" s="86">
        <v>25590.2</v>
      </c>
      <c r="I246" s="86">
        <v>1600.81</v>
      </c>
      <c r="J246" s="86"/>
      <c r="K246" s="4">
        <v>0</v>
      </c>
      <c r="L246" s="4"/>
      <c r="M246" s="86"/>
      <c r="N246" s="28"/>
      <c r="O246" s="83">
        <f t="shared" si="19"/>
        <v>1.3642420526593924E-12</v>
      </c>
    </row>
    <row r="247" spans="1:15" x14ac:dyDescent="0.25">
      <c r="A247" s="31"/>
      <c r="B247" s="3" t="s">
        <v>78</v>
      </c>
      <c r="C247" s="22" t="s">
        <v>86</v>
      </c>
      <c r="D247" s="80" t="s">
        <v>153</v>
      </c>
      <c r="E247" s="80">
        <v>42215</v>
      </c>
      <c r="F247" s="86">
        <v>24169.14</v>
      </c>
      <c r="G247" s="86">
        <v>24335.35</v>
      </c>
      <c r="H247" s="86">
        <v>24169.14</v>
      </c>
      <c r="I247" s="4">
        <v>3625.37</v>
      </c>
      <c r="J247" s="86"/>
      <c r="K247" s="86">
        <f>G247-I247</f>
        <v>20709.98</v>
      </c>
      <c r="L247" s="4"/>
      <c r="M247" s="86"/>
      <c r="N247" s="30"/>
      <c r="O247" s="83">
        <f t="shared" si="19"/>
        <v>0</v>
      </c>
    </row>
    <row r="248" spans="1:15" x14ac:dyDescent="0.25">
      <c r="A248" s="31"/>
      <c r="B248" s="3" t="s">
        <v>53</v>
      </c>
      <c r="C248" s="22" t="s">
        <v>54</v>
      </c>
      <c r="D248" s="80" t="s">
        <v>153</v>
      </c>
      <c r="E248" s="80">
        <v>42216</v>
      </c>
      <c r="F248" s="86">
        <v>64860.160000000003</v>
      </c>
      <c r="G248" s="86">
        <v>473</v>
      </c>
      <c r="H248" s="84"/>
      <c r="I248" s="78"/>
      <c r="K248" s="4"/>
      <c r="L248" s="86">
        <f>F248+G248</f>
        <v>65333.16</v>
      </c>
      <c r="M248" s="78"/>
      <c r="N248" s="30"/>
      <c r="O248" s="83">
        <f t="shared" si="19"/>
        <v>0</v>
      </c>
    </row>
    <row r="249" spans="1:15" x14ac:dyDescent="0.25">
      <c r="A249" s="31"/>
      <c r="B249" s="3" t="s">
        <v>84</v>
      </c>
      <c r="C249" s="22" t="s">
        <v>92</v>
      </c>
      <c r="D249" s="80" t="s">
        <v>155</v>
      </c>
      <c r="E249" s="80">
        <v>42215</v>
      </c>
      <c r="F249" s="86">
        <v>52448.72</v>
      </c>
      <c r="G249" s="86">
        <v>7275.2</v>
      </c>
      <c r="H249" s="86">
        <v>52448.72</v>
      </c>
      <c r="I249" s="86">
        <v>7275.2</v>
      </c>
      <c r="J249" s="86"/>
      <c r="K249" s="4"/>
      <c r="L249" s="4"/>
      <c r="M249" s="86"/>
      <c r="N249" s="30"/>
      <c r="O249" s="83">
        <f t="shared" si="19"/>
        <v>-2.7284841053187847E-12</v>
      </c>
    </row>
    <row r="250" spans="1:15" x14ac:dyDescent="0.25">
      <c r="A250" s="31"/>
      <c r="B250" s="3" t="s">
        <v>69</v>
      </c>
      <c r="C250" s="22" t="s">
        <v>70</v>
      </c>
      <c r="D250" s="80" t="s">
        <v>153</v>
      </c>
      <c r="E250" s="80">
        <v>42215</v>
      </c>
      <c r="F250" s="86">
        <v>25676.9</v>
      </c>
      <c r="G250" s="86">
        <v>3851.58</v>
      </c>
      <c r="H250" s="86">
        <v>25676.9</v>
      </c>
      <c r="I250" s="86">
        <v>3851.54</v>
      </c>
      <c r="J250" s="86"/>
      <c r="K250" s="86">
        <f>G250-I250</f>
        <v>3.999999999996362E-2</v>
      </c>
      <c r="L250" s="4"/>
      <c r="M250" s="86"/>
      <c r="N250" s="30"/>
      <c r="O250" s="83">
        <f t="shared" si="19"/>
        <v>1.8189894035458565E-12</v>
      </c>
    </row>
    <row r="251" spans="1:15" x14ac:dyDescent="0.25">
      <c r="A251" s="32"/>
      <c r="B251" s="3" t="s">
        <v>41</v>
      </c>
      <c r="C251" s="21" t="s">
        <v>42</v>
      </c>
      <c r="D251" s="80" t="s">
        <v>155</v>
      </c>
      <c r="E251" s="80">
        <v>42220</v>
      </c>
      <c r="F251" s="86">
        <v>30559.07</v>
      </c>
      <c r="G251" s="86">
        <v>2433.34</v>
      </c>
      <c r="H251" s="86">
        <v>30559.07</v>
      </c>
      <c r="I251" s="86">
        <v>2433.34</v>
      </c>
      <c r="J251" s="86"/>
      <c r="K251" s="4"/>
      <c r="L251" s="4"/>
      <c r="M251" s="86"/>
      <c r="N251" s="28"/>
      <c r="O251" s="83">
        <f t="shared" si="19"/>
        <v>3.637978807091713E-12</v>
      </c>
    </row>
    <row r="252" spans="1:15" x14ac:dyDescent="0.25">
      <c r="A252" s="31"/>
      <c r="B252" s="79" t="s">
        <v>74</v>
      </c>
      <c r="C252" s="81" t="s">
        <v>75</v>
      </c>
      <c r="D252" s="80" t="s">
        <v>153</v>
      </c>
      <c r="E252" s="80">
        <v>42221</v>
      </c>
      <c r="F252" s="86">
        <v>15278.91</v>
      </c>
      <c r="G252" s="86">
        <v>2291.84</v>
      </c>
      <c r="H252" s="86">
        <v>15278.91</v>
      </c>
      <c r="I252" s="86">
        <v>2291.84</v>
      </c>
      <c r="J252" s="86"/>
      <c r="K252" s="86">
        <v>0</v>
      </c>
      <c r="L252" s="78"/>
      <c r="M252" s="86"/>
      <c r="N252" s="82"/>
      <c r="O252" s="83">
        <f t="shared" si="19"/>
        <v>0</v>
      </c>
    </row>
    <row r="253" spans="1:15" x14ac:dyDescent="0.25">
      <c r="A253" s="31"/>
      <c r="B253" s="3" t="s">
        <v>79</v>
      </c>
      <c r="C253" s="22" t="s">
        <v>87</v>
      </c>
      <c r="D253" s="80" t="s">
        <v>132</v>
      </c>
      <c r="E253" s="80">
        <v>42221</v>
      </c>
      <c r="F253" s="86">
        <v>8124.45</v>
      </c>
      <c r="G253" s="86">
        <v>2220.2800000000002</v>
      </c>
      <c r="H253" s="86">
        <v>8124.45</v>
      </c>
      <c r="I253" s="4">
        <v>1218.67</v>
      </c>
      <c r="J253" s="86"/>
      <c r="K253" s="86">
        <f>G253-I253</f>
        <v>1001.6100000000001</v>
      </c>
      <c r="L253" s="4"/>
      <c r="M253" s="86"/>
      <c r="N253" s="30"/>
      <c r="O253" s="83">
        <f t="shared" si="19"/>
        <v>-4.5474735088646412E-13</v>
      </c>
    </row>
    <row r="254" spans="1:15" x14ac:dyDescent="0.25">
      <c r="A254" s="31"/>
      <c r="B254" s="3" t="s">
        <v>43</v>
      </c>
      <c r="C254" s="22" t="s">
        <v>44</v>
      </c>
      <c r="D254" s="80" t="s">
        <v>155</v>
      </c>
      <c r="E254" s="80">
        <v>42233</v>
      </c>
      <c r="F254" s="86">
        <v>66087.53</v>
      </c>
      <c r="G254" s="86">
        <v>9862.68</v>
      </c>
      <c r="H254" s="86">
        <v>66087.53</v>
      </c>
      <c r="I254" s="86">
        <v>9862.68</v>
      </c>
      <c r="J254" s="86"/>
      <c r="K254" s="4"/>
      <c r="M254" s="86"/>
      <c r="N254" s="30"/>
      <c r="O254" s="83">
        <f t="shared" si="19"/>
        <v>-7.2759576141834259E-12</v>
      </c>
    </row>
    <row r="255" spans="1:15" x14ac:dyDescent="0.25">
      <c r="A255" s="31"/>
      <c r="B255" s="3" t="s">
        <v>85</v>
      </c>
      <c r="C255" s="22" t="s">
        <v>93</v>
      </c>
      <c r="D255" s="80" t="s">
        <v>155</v>
      </c>
      <c r="E255" s="80">
        <v>42235</v>
      </c>
      <c r="F255" s="86">
        <v>10054.66</v>
      </c>
      <c r="G255" s="86">
        <v>3067.24</v>
      </c>
      <c r="H255" s="86">
        <v>10054.66</v>
      </c>
      <c r="I255" s="78">
        <v>1508.2</v>
      </c>
      <c r="J255" s="86"/>
      <c r="K255" s="4">
        <f>G255-I255</f>
        <v>1559.0399999999997</v>
      </c>
      <c r="L255" s="86"/>
      <c r="M255" s="78"/>
      <c r="N255" s="30"/>
      <c r="O255" s="83">
        <f t="shared" si="19"/>
        <v>0</v>
      </c>
    </row>
    <row r="256" spans="1:15" x14ac:dyDescent="0.25">
      <c r="A256" s="31"/>
      <c r="B256" s="9"/>
      <c r="C256" s="22"/>
      <c r="D256" s="10"/>
      <c r="E256" s="10"/>
      <c r="F256" s="86"/>
      <c r="G256" s="86"/>
      <c r="H256" s="4"/>
      <c r="I256" s="4"/>
      <c r="J256" s="86"/>
      <c r="K256" s="4"/>
      <c r="L256" s="4"/>
      <c r="M256" s="4"/>
      <c r="N256" s="30"/>
      <c r="O256" s="83"/>
    </row>
    <row r="257" spans="1:15" x14ac:dyDescent="0.25">
      <c r="A257" s="32"/>
      <c r="B257" s="3"/>
      <c r="C257" s="21"/>
      <c r="D257" s="10"/>
      <c r="E257" s="80"/>
      <c r="F257" s="86"/>
      <c r="G257" s="86"/>
      <c r="H257" s="4"/>
      <c r="I257" s="4"/>
      <c r="J257" s="4"/>
      <c r="K257" s="4"/>
      <c r="L257" s="4"/>
      <c r="M257" s="4"/>
      <c r="N257" s="28"/>
      <c r="O257" s="83"/>
    </row>
    <row r="258" spans="1:15" x14ac:dyDescent="0.25">
      <c r="A258" s="32"/>
      <c r="B258" s="3"/>
      <c r="C258" s="21"/>
      <c r="D258" s="10"/>
      <c r="E258" s="80"/>
      <c r="F258" s="86"/>
      <c r="G258" s="86"/>
      <c r="H258" s="4"/>
      <c r="I258" s="4"/>
      <c r="J258" s="78"/>
      <c r="K258" s="4"/>
      <c r="L258" s="4"/>
      <c r="M258" s="4"/>
      <c r="N258" s="28"/>
      <c r="O258" s="83"/>
    </row>
    <row r="259" spans="1:15" x14ac:dyDescent="0.25">
      <c r="A259" s="32"/>
      <c r="B259" s="79"/>
      <c r="C259" s="21"/>
      <c r="D259" s="10"/>
      <c r="E259" s="10"/>
      <c r="F259" s="86"/>
      <c r="G259" s="86"/>
      <c r="H259" s="78"/>
      <c r="I259" s="78"/>
      <c r="J259" s="78"/>
      <c r="K259" s="4"/>
      <c r="L259" s="4"/>
      <c r="M259" s="4"/>
      <c r="N259" s="28"/>
      <c r="O259" s="83"/>
    </row>
    <row r="260" spans="1:15" x14ac:dyDescent="0.25">
      <c r="A260" s="32"/>
      <c r="B260" s="79"/>
      <c r="C260" s="21"/>
      <c r="D260" s="80"/>
      <c r="E260" s="80"/>
      <c r="F260" s="86"/>
      <c r="G260" s="86"/>
      <c r="H260" s="4"/>
      <c r="I260" s="4"/>
      <c r="J260" s="78"/>
      <c r="K260" s="4"/>
      <c r="L260" s="4"/>
      <c r="M260" s="4"/>
      <c r="N260" s="28"/>
      <c r="O260" s="83"/>
    </row>
    <row r="261" spans="1:15" x14ac:dyDescent="0.25">
      <c r="A261" s="32"/>
      <c r="B261" s="79"/>
      <c r="C261" s="21"/>
      <c r="D261" s="10"/>
      <c r="E261" s="80"/>
      <c r="F261" s="86"/>
      <c r="G261" s="86"/>
      <c r="H261" s="78"/>
      <c r="I261" s="4"/>
      <c r="J261" s="78"/>
      <c r="K261" s="78"/>
      <c r="L261" s="4"/>
      <c r="M261" s="4"/>
      <c r="N261" s="28"/>
      <c r="O261" s="83"/>
    </row>
    <row r="262" spans="1:15" x14ac:dyDescent="0.25">
      <c r="A262" s="32"/>
      <c r="B262" s="3"/>
      <c r="C262" s="21"/>
      <c r="D262" s="80"/>
      <c r="E262" s="10"/>
      <c r="F262" s="86"/>
      <c r="G262" s="86"/>
      <c r="H262" s="4"/>
      <c r="I262" s="4"/>
      <c r="J262" s="78"/>
      <c r="L262" s="4"/>
      <c r="M262" s="4"/>
      <c r="N262" s="28"/>
      <c r="O262" s="83"/>
    </row>
    <row r="263" spans="1:15" x14ac:dyDescent="0.25">
      <c r="A263" s="32"/>
      <c r="B263" s="3"/>
      <c r="C263" s="21"/>
      <c r="D263" s="80"/>
      <c r="E263" s="10"/>
      <c r="F263" s="86"/>
      <c r="G263" s="86"/>
      <c r="H263" s="4"/>
      <c r="I263" s="4"/>
      <c r="J263" s="78"/>
      <c r="K263" s="4"/>
      <c r="M263" s="78"/>
      <c r="N263" s="28"/>
      <c r="O263" s="83"/>
    </row>
    <row r="264" spans="1:15" x14ac:dyDescent="0.25">
      <c r="A264" s="32"/>
      <c r="B264" s="3"/>
      <c r="C264" s="21"/>
      <c r="D264" s="80"/>
      <c r="E264" s="10"/>
      <c r="F264" s="86"/>
      <c r="G264" s="86"/>
      <c r="H264" s="4"/>
      <c r="I264" s="4"/>
      <c r="J264" s="78"/>
      <c r="K264" s="4"/>
      <c r="L264" s="78"/>
      <c r="N264" s="28"/>
      <c r="O264" s="83"/>
    </row>
    <row r="265" spans="1:15" x14ac:dyDescent="0.25">
      <c r="A265" s="31"/>
      <c r="B265" s="3"/>
      <c r="C265" s="22"/>
      <c r="D265" s="80"/>
      <c r="E265" s="80"/>
      <c r="F265" s="86"/>
      <c r="G265" s="86"/>
      <c r="H265" s="4"/>
      <c r="I265" s="4"/>
      <c r="J265" s="78"/>
      <c r="K265" s="4"/>
      <c r="L265" s="4"/>
      <c r="M265" s="4"/>
      <c r="N265" s="30"/>
      <c r="O265" s="83"/>
    </row>
    <row r="266" spans="1:15" x14ac:dyDescent="0.25">
      <c r="A266" s="31"/>
      <c r="B266" s="9"/>
      <c r="C266" s="22"/>
      <c r="D266" s="10"/>
      <c r="E266" s="10"/>
      <c r="F266" s="86"/>
      <c r="G266" s="86"/>
      <c r="H266" s="4"/>
      <c r="I266" s="4"/>
      <c r="J266" s="78"/>
      <c r="K266" s="4"/>
      <c r="L266" s="4"/>
      <c r="M266" s="78"/>
      <c r="N266" s="30"/>
      <c r="O266" s="83"/>
    </row>
    <row r="267" spans="1:15" x14ac:dyDescent="0.25">
      <c r="A267" s="32"/>
      <c r="B267" s="3"/>
      <c r="C267" s="21"/>
      <c r="D267" s="10"/>
      <c r="E267" s="80"/>
      <c r="F267" s="86"/>
      <c r="G267" s="86"/>
      <c r="H267" s="4"/>
      <c r="I267" s="4"/>
      <c r="K267" s="4"/>
      <c r="L267" s="4"/>
      <c r="M267" s="78"/>
      <c r="N267" s="28"/>
      <c r="O267" s="83"/>
    </row>
    <row r="268" spans="1:15" x14ac:dyDescent="0.25">
      <c r="A268" s="32"/>
      <c r="B268" s="3"/>
      <c r="C268" s="21"/>
      <c r="D268" s="10"/>
      <c r="E268" s="10"/>
      <c r="F268" s="86"/>
      <c r="G268" s="86"/>
      <c r="H268" s="4"/>
      <c r="I268" s="4"/>
      <c r="J268" s="78"/>
      <c r="K268" s="4"/>
      <c r="L268" s="78"/>
      <c r="M268" s="4"/>
      <c r="N268" s="28"/>
      <c r="O268" s="83"/>
    </row>
    <row r="269" spans="1:15" x14ac:dyDescent="0.25">
      <c r="A269" s="31"/>
      <c r="B269" s="9"/>
      <c r="C269" s="22"/>
      <c r="D269" s="10"/>
      <c r="E269" s="10"/>
      <c r="F269" s="86"/>
      <c r="G269" s="86"/>
      <c r="H269" s="4"/>
      <c r="I269" s="4"/>
      <c r="J269" s="78"/>
      <c r="K269" s="4"/>
      <c r="L269" s="78"/>
      <c r="M269" s="4"/>
      <c r="N269" s="30"/>
      <c r="O269" s="83"/>
    </row>
    <row r="270" spans="1:15" x14ac:dyDescent="0.25">
      <c r="A270" s="31"/>
      <c r="B270" s="9"/>
      <c r="C270" s="22"/>
      <c r="D270" s="10"/>
      <c r="E270" s="10"/>
      <c r="F270" s="86"/>
      <c r="G270" s="86"/>
      <c r="H270" s="4"/>
      <c r="I270" s="4"/>
      <c r="J270" s="78"/>
      <c r="K270" s="4"/>
      <c r="M270" s="4"/>
      <c r="N270" s="30"/>
      <c r="O270" s="83"/>
    </row>
    <row r="271" spans="1:15" x14ac:dyDescent="0.25">
      <c r="A271" s="31"/>
      <c r="B271" s="9"/>
      <c r="C271" s="22"/>
      <c r="D271" s="10"/>
      <c r="E271" s="10"/>
      <c r="F271" s="86"/>
      <c r="G271" s="86"/>
      <c r="H271" s="4"/>
      <c r="I271" s="4"/>
      <c r="J271" s="78"/>
      <c r="K271" s="4"/>
      <c r="L271" s="78"/>
      <c r="M271" s="4"/>
      <c r="N271" s="30"/>
      <c r="O271" s="83"/>
    </row>
    <row r="272" spans="1:15" x14ac:dyDescent="0.25">
      <c r="A272" s="31"/>
      <c r="B272" s="9"/>
      <c r="C272" s="22"/>
      <c r="D272" s="10"/>
      <c r="E272" s="10"/>
      <c r="F272" s="86"/>
      <c r="G272" s="86"/>
      <c r="H272" s="4"/>
      <c r="I272" s="4"/>
      <c r="J272" s="78"/>
      <c r="K272" s="4"/>
      <c r="L272" s="78"/>
      <c r="M272" s="78"/>
      <c r="N272" s="30"/>
      <c r="O272" s="83"/>
    </row>
    <row r="273" spans="1:15" x14ac:dyDescent="0.25">
      <c r="A273" s="32"/>
      <c r="B273" s="3"/>
      <c r="C273" s="21"/>
      <c r="D273" s="10"/>
      <c r="E273" s="10"/>
      <c r="F273" s="86"/>
      <c r="G273" s="86"/>
      <c r="H273" s="4"/>
      <c r="I273" s="4"/>
      <c r="K273" s="4"/>
      <c r="L273" s="78"/>
      <c r="M273" s="4"/>
      <c r="N273" s="28"/>
      <c r="O273" s="83"/>
    </row>
    <row r="274" spans="1:15" x14ac:dyDescent="0.25">
      <c r="A274" s="32"/>
      <c r="B274" s="3"/>
      <c r="C274" s="21"/>
      <c r="D274" s="10"/>
      <c r="E274" s="10"/>
      <c r="F274" s="86"/>
      <c r="G274" s="86"/>
      <c r="H274" s="4"/>
      <c r="I274" s="4"/>
      <c r="J274" s="4"/>
      <c r="K274" s="4"/>
      <c r="L274" s="4"/>
      <c r="M274" s="4"/>
      <c r="N274" s="28"/>
      <c r="O274" s="83"/>
    </row>
    <row r="275" spans="1:15" x14ac:dyDescent="0.25">
      <c r="A275" s="32"/>
      <c r="B275" s="3"/>
      <c r="C275" s="21"/>
      <c r="D275" s="80"/>
      <c r="E275" s="80"/>
      <c r="F275" s="86"/>
      <c r="G275" s="86"/>
      <c r="H275" s="78"/>
      <c r="I275" s="78"/>
      <c r="J275" s="78"/>
      <c r="K275" s="78"/>
      <c r="L275" s="78"/>
      <c r="M275" s="78"/>
      <c r="N275" s="28"/>
      <c r="O275" s="83"/>
    </row>
    <row r="276" spans="1:15" x14ac:dyDescent="0.25">
      <c r="A276" s="32"/>
      <c r="B276" s="51"/>
      <c r="C276" s="21"/>
      <c r="D276" s="10"/>
      <c r="E276" s="10"/>
      <c r="F276" s="86"/>
      <c r="G276" s="86"/>
      <c r="H276" s="4"/>
      <c r="I276" s="4"/>
      <c r="J276" s="4"/>
      <c r="K276" s="4"/>
      <c r="L276" s="4"/>
      <c r="M276" s="4"/>
      <c r="N276" s="28"/>
      <c r="O276" s="83"/>
    </row>
    <row r="277" spans="1:15" x14ac:dyDescent="0.25">
      <c r="A277" s="32"/>
      <c r="B277" s="51"/>
      <c r="C277" s="21"/>
      <c r="D277" s="10"/>
      <c r="E277" s="10"/>
      <c r="F277" s="86"/>
      <c r="G277" s="86"/>
      <c r="H277" s="4"/>
      <c r="I277" s="4"/>
      <c r="J277" s="4"/>
      <c r="K277" s="4"/>
      <c r="L277" s="4"/>
      <c r="M277" s="4"/>
      <c r="N277" s="28"/>
    </row>
    <row r="278" spans="1:15" x14ac:dyDescent="0.25">
      <c r="A278" s="32"/>
      <c r="B278" s="51"/>
      <c r="C278" s="21"/>
      <c r="D278" s="10"/>
      <c r="E278" s="10"/>
      <c r="F278" s="86"/>
      <c r="G278" s="86"/>
      <c r="H278" s="4"/>
      <c r="I278" s="4"/>
      <c r="J278" s="4"/>
      <c r="K278" s="4"/>
      <c r="L278" s="4"/>
      <c r="M278" s="4"/>
      <c r="N278" s="28"/>
    </row>
    <row r="279" spans="1:15" x14ac:dyDescent="0.25">
      <c r="A279" s="32"/>
      <c r="B279" s="51"/>
      <c r="C279" s="21"/>
      <c r="D279" s="10"/>
      <c r="E279" s="10"/>
      <c r="F279" s="86"/>
      <c r="G279" s="86"/>
      <c r="H279" s="4"/>
      <c r="I279" s="4"/>
      <c r="J279" s="4"/>
      <c r="K279" s="4"/>
      <c r="L279" s="4"/>
      <c r="M279" s="4"/>
      <c r="N279" s="28"/>
    </row>
    <row r="280" spans="1:15" x14ac:dyDescent="0.25">
      <c r="A280" s="32"/>
      <c r="B280" s="51"/>
      <c r="C280" s="21"/>
      <c r="D280" s="10"/>
      <c r="E280" s="10"/>
      <c r="F280" s="4"/>
      <c r="G280" s="4"/>
      <c r="H280" s="4"/>
      <c r="I280" s="4"/>
      <c r="J280" s="4"/>
      <c r="K280" s="4"/>
      <c r="L280" s="4"/>
      <c r="M280" s="4"/>
      <c r="N280" s="28"/>
    </row>
    <row r="281" spans="1:15" x14ac:dyDescent="0.25">
      <c r="A281" s="32"/>
      <c r="B281" s="51"/>
      <c r="C281" s="21"/>
      <c r="D281" s="10"/>
      <c r="E281" s="10"/>
      <c r="F281" s="4"/>
      <c r="G281" s="4"/>
      <c r="H281" s="4"/>
      <c r="I281" s="4"/>
      <c r="J281" s="4"/>
      <c r="K281" s="4"/>
      <c r="L281" s="4"/>
      <c r="M281" s="4"/>
      <c r="N281" s="28"/>
    </row>
    <row r="282" spans="1:15" x14ac:dyDescent="0.25">
      <c r="A282" s="32"/>
      <c r="B282" s="51"/>
      <c r="C282" s="21"/>
      <c r="D282" s="10"/>
      <c r="E282" s="10"/>
      <c r="F282" s="4"/>
      <c r="G282" s="4"/>
      <c r="H282" s="4"/>
      <c r="I282" s="4"/>
      <c r="J282" s="4"/>
      <c r="K282" s="4"/>
      <c r="L282" s="4"/>
      <c r="M282" s="4"/>
      <c r="N282" s="28"/>
    </row>
    <row r="283" spans="1:15" x14ac:dyDescent="0.25">
      <c r="A283" s="32"/>
      <c r="B283" s="51"/>
      <c r="C283" s="21"/>
      <c r="D283" s="10"/>
      <c r="E283" s="10"/>
      <c r="F283" s="4"/>
      <c r="G283" s="4"/>
      <c r="H283" s="4"/>
      <c r="I283" s="4"/>
      <c r="J283" s="4"/>
      <c r="K283" s="4"/>
      <c r="L283" s="4"/>
      <c r="M283" s="4"/>
      <c r="N283" s="28"/>
    </row>
    <row r="284" spans="1:15" x14ac:dyDescent="0.25">
      <c r="A284" s="32"/>
      <c r="B284" s="51"/>
      <c r="C284" s="21"/>
      <c r="D284" s="10"/>
      <c r="E284" s="10"/>
      <c r="F284" s="4"/>
      <c r="G284" s="4"/>
      <c r="H284" s="4"/>
      <c r="I284" s="4"/>
      <c r="J284" s="4"/>
      <c r="K284" s="4"/>
      <c r="L284" s="4"/>
      <c r="M284" s="4"/>
      <c r="N284" s="28"/>
    </row>
    <row r="285" spans="1:15" ht="15.75" thickBot="1" x14ac:dyDescent="0.3">
      <c r="A285" s="32"/>
      <c r="B285" s="51"/>
      <c r="C285" s="21"/>
      <c r="D285" s="10"/>
      <c r="E285" s="10"/>
      <c r="F285" s="4"/>
      <c r="G285" s="4"/>
      <c r="H285" s="4"/>
      <c r="I285" s="4"/>
      <c r="J285" s="4"/>
      <c r="K285" s="4"/>
      <c r="L285" s="4"/>
      <c r="M285" s="4"/>
      <c r="N285" s="28"/>
    </row>
    <row r="286" spans="1:15" ht="16.5" thickTop="1" thickBot="1" x14ac:dyDescent="0.3">
      <c r="A286" s="145" t="s">
        <v>111</v>
      </c>
      <c r="B286" s="146"/>
      <c r="C286" s="147"/>
      <c r="D286" s="147"/>
      <c r="E286" s="147"/>
      <c r="F286" s="20">
        <f>SUM(Detail!F4:F281)</f>
        <v>7316412.0400000019</v>
      </c>
      <c r="G286" s="20">
        <f>SUM(Detail!G4:G281)</f>
        <v>1407588.8200000003</v>
      </c>
      <c r="H286" s="20">
        <f>SUM(Detail!H4:H281)</f>
        <v>7250674.4700000016</v>
      </c>
      <c r="I286" s="20">
        <f>SUM(Detail!I4:I281)</f>
        <v>981609.69000000006</v>
      </c>
      <c r="J286" s="20">
        <f>SUM(Detail!J4:J281)</f>
        <v>0</v>
      </c>
      <c r="K286" s="20">
        <f>SUM(Detail!K4:K281)</f>
        <v>425506.13000000024</v>
      </c>
      <c r="L286" s="20">
        <f>SUM(Detail!L4:L281)</f>
        <v>65333.16</v>
      </c>
      <c r="M286" s="20">
        <f>SUM(Detail!M4:M281)</f>
        <v>0</v>
      </c>
      <c r="N286" s="34">
        <f>SUM(Detail!N4:N281)</f>
        <v>877.41</v>
      </c>
    </row>
    <row r="287" spans="1:15" x14ac:dyDescent="0.25">
      <c r="A287" s="25"/>
      <c r="B287" s="17" t="s">
        <v>6</v>
      </c>
      <c r="C287" s="23" t="s">
        <v>101</v>
      </c>
      <c r="D287" s="7" t="s">
        <v>143</v>
      </c>
      <c r="E287" s="19">
        <v>41932</v>
      </c>
      <c r="F287" s="18">
        <v>49365.69</v>
      </c>
      <c r="G287" s="18">
        <v>0</v>
      </c>
      <c r="H287" s="18">
        <v>49365.69</v>
      </c>
      <c r="I287" s="18">
        <v>0</v>
      </c>
      <c r="J287" s="78"/>
      <c r="K287" s="18"/>
      <c r="L287" s="18"/>
      <c r="M287" s="18"/>
      <c r="N287" s="26"/>
    </row>
    <row r="288" spans="1:15" x14ac:dyDescent="0.25">
      <c r="A288" s="27"/>
      <c r="B288" s="3" t="s">
        <v>6</v>
      </c>
      <c r="C288" s="21" t="s">
        <v>101</v>
      </c>
      <c r="D288" s="4" t="s">
        <v>147</v>
      </c>
      <c r="E288" s="10">
        <v>42033</v>
      </c>
      <c r="F288" s="86">
        <v>64076.55</v>
      </c>
      <c r="G288" s="4">
        <v>0</v>
      </c>
      <c r="H288" s="86">
        <v>64076.55</v>
      </c>
      <c r="I288" s="4">
        <v>0</v>
      </c>
      <c r="J288" s="78"/>
      <c r="K288" s="4"/>
      <c r="L288" s="4"/>
      <c r="M288" s="78"/>
      <c r="N288" s="28"/>
    </row>
    <row r="289" spans="1:14" x14ac:dyDescent="0.25">
      <c r="A289" s="27"/>
      <c r="B289" s="3" t="s">
        <v>6</v>
      </c>
      <c r="C289" s="21" t="s">
        <v>101</v>
      </c>
      <c r="D289" s="4" t="s">
        <v>152</v>
      </c>
      <c r="E289" s="10">
        <v>42122</v>
      </c>
      <c r="F289" s="7">
        <v>230940.99</v>
      </c>
      <c r="G289" s="4">
        <v>0</v>
      </c>
      <c r="H289" s="7">
        <v>230940.99</v>
      </c>
      <c r="I289" s="86">
        <v>0</v>
      </c>
      <c r="J289" s="4"/>
      <c r="K289" s="4"/>
      <c r="L289" s="4"/>
      <c r="N289" s="28"/>
    </row>
    <row r="290" spans="1:14" ht="15.75" thickBot="1" x14ac:dyDescent="0.3">
      <c r="A290" s="35"/>
      <c r="B290" s="3" t="s">
        <v>6</v>
      </c>
      <c r="C290" s="21" t="s">
        <v>101</v>
      </c>
      <c r="D290" s="15" t="s">
        <v>154</v>
      </c>
      <c r="E290" s="16">
        <v>42215</v>
      </c>
      <c r="F290" s="15">
        <v>155616.76999999999</v>
      </c>
      <c r="G290" s="15">
        <v>0</v>
      </c>
      <c r="H290" s="15">
        <v>155616.76999999999</v>
      </c>
      <c r="I290" s="15">
        <v>0</v>
      </c>
      <c r="J290" s="15"/>
      <c r="K290" s="15"/>
      <c r="L290" s="15"/>
      <c r="M290" s="15">
        <v>155616.76999999999</v>
      </c>
      <c r="N290" s="33"/>
    </row>
    <row r="291" spans="1:14" ht="16.5" thickTop="1" thickBot="1" x14ac:dyDescent="0.3">
      <c r="A291" s="145" t="s">
        <v>108</v>
      </c>
      <c r="B291" s="146"/>
      <c r="C291" s="147"/>
      <c r="D291" s="147"/>
      <c r="E291" s="147"/>
      <c r="F291" s="20">
        <f t="shared" ref="F291:N291" si="21">SUM(F287:F290)</f>
        <v>500000</v>
      </c>
      <c r="G291" s="20">
        <f t="shared" si="21"/>
        <v>0</v>
      </c>
      <c r="H291" s="20">
        <f t="shared" si="21"/>
        <v>500000</v>
      </c>
      <c r="I291" s="20">
        <f t="shared" si="21"/>
        <v>0</v>
      </c>
      <c r="J291" s="20">
        <f t="shared" si="21"/>
        <v>0</v>
      </c>
      <c r="K291" s="20">
        <f t="shared" si="21"/>
        <v>0</v>
      </c>
      <c r="L291" s="20">
        <f t="shared" si="21"/>
        <v>0</v>
      </c>
      <c r="M291" s="20">
        <f>SUM(M287:M290)</f>
        <v>155616.76999999999</v>
      </c>
      <c r="N291" s="34">
        <f t="shared" si="21"/>
        <v>0</v>
      </c>
    </row>
    <row r="292" spans="1:14" ht="15.75" thickBot="1" x14ac:dyDescent="0.3">
      <c r="A292" s="120" t="s">
        <v>109</v>
      </c>
      <c r="B292" s="121"/>
      <c r="C292" s="148"/>
      <c r="D292" s="148"/>
      <c r="E292" s="148"/>
      <c r="F292" s="36">
        <f t="shared" ref="F292:N292" si="22">F286+F291</f>
        <v>7816412.0400000019</v>
      </c>
      <c r="G292" s="36">
        <f t="shared" si="22"/>
        <v>1407588.8200000003</v>
      </c>
      <c r="H292" s="36">
        <f t="shared" si="22"/>
        <v>7750674.4700000016</v>
      </c>
      <c r="I292" s="36">
        <f t="shared" si="22"/>
        <v>981609.69000000006</v>
      </c>
      <c r="J292" s="36">
        <f t="shared" si="22"/>
        <v>0</v>
      </c>
      <c r="K292" s="36">
        <f t="shared" si="22"/>
        <v>425506.13000000024</v>
      </c>
      <c r="L292" s="36">
        <f>L286+L291</f>
        <v>65333.16</v>
      </c>
      <c r="M292" s="36">
        <f t="shared" si="22"/>
        <v>155616.76999999999</v>
      </c>
      <c r="N292" s="37">
        <f t="shared" si="22"/>
        <v>877.41</v>
      </c>
    </row>
    <row r="293" spans="1:14" ht="3.95" customHeight="1" thickTop="1" x14ac:dyDescent="0.25">
      <c r="A293" s="68"/>
      <c r="B293" s="67"/>
      <c r="C293" s="68"/>
      <c r="D293" s="69"/>
      <c r="E293" s="70"/>
      <c r="F293" s="69"/>
      <c r="G293" s="69"/>
      <c r="H293" s="78">
        <v>423.12</v>
      </c>
      <c r="I293" s="69"/>
      <c r="J293" s="69"/>
      <c r="K293" s="69"/>
      <c r="L293" s="69"/>
      <c r="M293" s="69"/>
      <c r="N293" s="71"/>
    </row>
    <row r="294" spans="1:14" ht="3.95" customHeight="1" x14ac:dyDescent="0.25">
      <c r="A294" s="68"/>
      <c r="B294" s="67"/>
      <c r="C294" s="68"/>
      <c r="D294" s="69"/>
      <c r="E294" s="70"/>
      <c r="F294" s="69"/>
      <c r="G294" s="69"/>
      <c r="H294" s="69"/>
      <c r="I294" s="69"/>
      <c r="J294" s="69"/>
      <c r="K294" s="69"/>
      <c r="L294" s="69"/>
      <c r="M294" s="69"/>
      <c r="N294" s="71"/>
    </row>
    <row r="295" spans="1:14" ht="3.95" customHeight="1" x14ac:dyDescent="0.25">
      <c r="A295" s="68"/>
      <c r="B295" s="67"/>
      <c r="C295" s="68"/>
      <c r="D295" s="69"/>
      <c r="E295" s="70"/>
      <c r="F295" s="69"/>
      <c r="G295" s="69"/>
      <c r="H295" s="69"/>
      <c r="I295" s="69"/>
      <c r="J295" s="69"/>
      <c r="K295" s="69"/>
      <c r="L295" s="69"/>
      <c r="M295" s="69"/>
      <c r="N295" s="71"/>
    </row>
    <row r="296" spans="1:14" ht="3.95" customHeight="1" x14ac:dyDescent="0.25">
      <c r="A296" s="68"/>
      <c r="B296" s="67"/>
      <c r="C296" s="68"/>
      <c r="D296" s="69"/>
      <c r="E296" s="70"/>
      <c r="F296" s="69"/>
      <c r="G296" s="69"/>
      <c r="H296" s="69"/>
      <c r="I296" s="69"/>
      <c r="J296" s="69"/>
      <c r="K296" s="69"/>
      <c r="L296" s="69"/>
      <c r="M296" s="69"/>
      <c r="N296" s="71"/>
    </row>
    <row r="297" spans="1:14" ht="3.95" customHeight="1" x14ac:dyDescent="0.25">
      <c r="A297" s="68"/>
      <c r="B297" s="67"/>
      <c r="C297" s="68"/>
      <c r="D297" s="69"/>
      <c r="E297" s="70"/>
      <c r="F297" s="69"/>
      <c r="G297" s="69"/>
      <c r="H297" s="69"/>
      <c r="I297" s="69"/>
      <c r="J297" s="69"/>
      <c r="K297" s="69"/>
      <c r="L297" s="69"/>
      <c r="M297" s="69"/>
      <c r="N297" s="71"/>
    </row>
  </sheetData>
  <autoFilter ref="A3:N293"/>
  <sortState ref="A4:O268">
    <sortCondition ref="A4:A268"/>
    <sortCondition ref="C4:C268"/>
    <sortCondition ref="D4:D268"/>
  </sortState>
  <mergeCells count="7">
    <mergeCell ref="A1:N1"/>
    <mergeCell ref="K2:L2"/>
    <mergeCell ref="A286:E286"/>
    <mergeCell ref="A292:E292"/>
    <mergeCell ref="A291:E291"/>
    <mergeCell ref="F2:G2"/>
    <mergeCell ref="H2:I2"/>
  </mergeCells>
  <pageMargins left="0.7" right="0.7" top="0.75" bottom="0.75" header="0.3" footer="0.3"/>
  <pageSetup scale="43" fitToHeight="0" orientation="landscape" r:id="rId1"/>
  <ignoredErrors>
    <ignoredError sqref="F286:H286 L286:N28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66"/>
  <sheetViews>
    <sheetView topLeftCell="B1" workbookViewId="0">
      <selection activeCell="P10" sqref="P10"/>
    </sheetView>
  </sheetViews>
  <sheetFormatPr defaultColWidth="0" defaultRowHeight="15" zeroHeight="1" x14ac:dyDescent="0.25"/>
  <cols>
    <col min="1" max="1" width="43.42578125" style="87" customWidth="1"/>
    <col min="2" max="4" width="9.140625" style="87" customWidth="1"/>
    <col min="5" max="5" width="10.7109375" style="87" bestFit="1" customWidth="1"/>
    <col min="6" max="6" width="10.85546875" style="87" bestFit="1" customWidth="1"/>
    <col min="7" max="7" width="14.28515625" style="87" bestFit="1" customWidth="1"/>
    <col min="8" max="8" width="10.7109375" style="87" bestFit="1" customWidth="1"/>
    <col min="9" max="9" width="11" style="87" bestFit="1" customWidth="1"/>
    <col min="10" max="10" width="10.7109375" style="87" bestFit="1" customWidth="1"/>
    <col min="11" max="11" width="9.85546875" style="87" bestFit="1" customWidth="1"/>
    <col min="12" max="12" width="10" style="87" bestFit="1" customWidth="1"/>
    <col min="13" max="13" width="9.7109375" style="87" bestFit="1" customWidth="1"/>
    <col min="14" max="14" width="10.28515625" style="87" bestFit="1" customWidth="1"/>
    <col min="15" max="16" width="9.7109375" style="87" bestFit="1" customWidth="1"/>
    <col min="17" max="21" width="0" style="107" hidden="1" customWidth="1"/>
    <col min="22" max="22" width="0" style="87" hidden="1" customWidth="1"/>
    <col min="23" max="16384" width="9.140625" style="87" hidden="1"/>
  </cols>
  <sheetData>
    <row r="1" spans="1:21" ht="15.75" thickTop="1" x14ac:dyDescent="0.25">
      <c r="A1" s="156" t="str">
        <f>Detail!A1</f>
        <v>Requests Received As Of 02/19/2016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87"/>
      <c r="R1" s="87"/>
      <c r="S1" s="87"/>
      <c r="T1" s="87"/>
      <c r="U1" s="87"/>
    </row>
    <row r="2" spans="1:21" x14ac:dyDescent="0.25">
      <c r="A2" s="88" t="s">
        <v>121</v>
      </c>
      <c r="B2" s="159" t="s">
        <v>0</v>
      </c>
      <c r="C2" s="161" t="s">
        <v>122</v>
      </c>
      <c r="D2" s="161"/>
      <c r="E2" s="88" t="s">
        <v>104</v>
      </c>
      <c r="F2" s="88" t="s">
        <v>105</v>
      </c>
      <c r="G2" s="89" t="s">
        <v>123</v>
      </c>
      <c r="H2" s="90" t="s">
        <v>124</v>
      </c>
      <c r="I2" s="90" t="s">
        <v>125</v>
      </c>
      <c r="J2" s="89" t="s">
        <v>126</v>
      </c>
      <c r="K2" s="91" t="s">
        <v>127</v>
      </c>
      <c r="L2" s="91" t="s">
        <v>128</v>
      </c>
      <c r="M2" s="91" t="s">
        <v>129</v>
      </c>
      <c r="N2" s="91" t="s">
        <v>130</v>
      </c>
      <c r="O2" s="91" t="s">
        <v>131</v>
      </c>
      <c r="P2" s="92" t="s">
        <v>132</v>
      </c>
      <c r="Q2" s="87"/>
      <c r="R2" s="87"/>
      <c r="S2" s="87"/>
      <c r="T2" s="87"/>
      <c r="U2" s="87"/>
    </row>
    <row r="3" spans="1:21" ht="15.75" thickBot="1" x14ac:dyDescent="0.3">
      <c r="A3" s="93" t="s">
        <v>1</v>
      </c>
      <c r="B3" s="160"/>
      <c r="C3" s="162" t="s">
        <v>133</v>
      </c>
      <c r="D3" s="163"/>
      <c r="E3" s="94">
        <v>41881</v>
      </c>
      <c r="F3" s="94">
        <v>41912</v>
      </c>
      <c r="G3" s="94">
        <v>41942</v>
      </c>
      <c r="H3" s="94">
        <v>41973</v>
      </c>
      <c r="I3" s="94">
        <v>42003</v>
      </c>
      <c r="J3" s="94">
        <v>42034</v>
      </c>
      <c r="K3" s="94">
        <v>42065</v>
      </c>
      <c r="L3" s="94">
        <v>42093</v>
      </c>
      <c r="M3" s="94">
        <v>42124</v>
      </c>
      <c r="N3" s="94">
        <v>42154</v>
      </c>
      <c r="O3" s="94">
        <v>42185</v>
      </c>
      <c r="P3" s="95">
        <v>42215</v>
      </c>
      <c r="Q3" s="87"/>
      <c r="R3" s="87"/>
      <c r="S3" s="87"/>
      <c r="T3" s="87"/>
      <c r="U3" s="87"/>
    </row>
    <row r="4" spans="1:21" ht="15.75" thickTop="1" x14ac:dyDescent="0.25">
      <c r="A4" s="96" t="s">
        <v>76</v>
      </c>
      <c r="B4" s="97" t="s">
        <v>77</v>
      </c>
      <c r="C4" s="164" t="s">
        <v>134</v>
      </c>
      <c r="D4" s="165"/>
      <c r="E4" s="98">
        <v>41870</v>
      </c>
      <c r="F4" s="98">
        <v>41899</v>
      </c>
      <c r="G4" s="98">
        <v>41939</v>
      </c>
      <c r="H4" s="98">
        <v>41969</v>
      </c>
      <c r="I4" s="98">
        <v>41984</v>
      </c>
      <c r="J4" s="98">
        <v>42027</v>
      </c>
      <c r="K4" s="98">
        <v>42060</v>
      </c>
      <c r="L4" s="110">
        <v>42094</v>
      </c>
      <c r="M4" s="98">
        <v>42123</v>
      </c>
      <c r="N4" s="98">
        <v>42152</v>
      </c>
      <c r="O4" s="98">
        <v>42166</v>
      </c>
      <c r="P4" s="98">
        <v>42214</v>
      </c>
      <c r="Q4" s="87"/>
      <c r="R4" s="87"/>
      <c r="S4" s="87"/>
      <c r="T4" s="87"/>
      <c r="U4" s="87"/>
    </row>
    <row r="5" spans="1:21" x14ac:dyDescent="0.25">
      <c r="A5" s="96" t="s">
        <v>12</v>
      </c>
      <c r="B5" s="97" t="s">
        <v>13</v>
      </c>
      <c r="C5" s="166" t="s">
        <v>134</v>
      </c>
      <c r="D5" s="167"/>
      <c r="E5" s="98">
        <v>41873</v>
      </c>
      <c r="F5" s="98">
        <v>41890</v>
      </c>
      <c r="G5" s="98">
        <v>41919</v>
      </c>
      <c r="H5" s="98">
        <v>41950</v>
      </c>
      <c r="I5" s="98">
        <v>41995</v>
      </c>
      <c r="J5" s="110">
        <v>42045</v>
      </c>
      <c r="K5" s="98">
        <v>42062</v>
      </c>
      <c r="L5" s="98">
        <v>42076</v>
      </c>
      <c r="M5" s="98">
        <v>42104</v>
      </c>
      <c r="N5" s="98">
        <v>42136</v>
      </c>
      <c r="O5" s="98">
        <v>42166</v>
      </c>
      <c r="P5" s="98">
        <v>42200</v>
      </c>
      <c r="Q5" s="87"/>
      <c r="R5" s="87"/>
      <c r="S5" s="87"/>
      <c r="T5" s="87"/>
      <c r="U5" s="87"/>
    </row>
    <row r="6" spans="1:21" x14ac:dyDescent="0.25">
      <c r="A6" s="96" t="s">
        <v>49</v>
      </c>
      <c r="B6" s="97" t="s">
        <v>50</v>
      </c>
      <c r="C6" s="166" t="s">
        <v>134</v>
      </c>
      <c r="D6" s="167"/>
      <c r="E6" s="98">
        <v>41880</v>
      </c>
      <c r="F6" s="98">
        <v>41911</v>
      </c>
      <c r="G6" s="98">
        <v>41936</v>
      </c>
      <c r="H6" s="98">
        <v>41969</v>
      </c>
      <c r="I6" s="110">
        <v>42004</v>
      </c>
      <c r="J6" s="110">
        <v>42035</v>
      </c>
      <c r="K6" s="98">
        <v>42062</v>
      </c>
      <c r="L6" s="98">
        <v>42092</v>
      </c>
      <c r="M6" s="98">
        <v>42106</v>
      </c>
      <c r="N6" s="98">
        <v>42144</v>
      </c>
      <c r="O6" s="98">
        <v>42170</v>
      </c>
      <c r="P6" s="98">
        <v>42206</v>
      </c>
      <c r="Q6" s="87"/>
      <c r="R6" s="87"/>
      <c r="S6" s="87"/>
      <c r="T6" s="87"/>
      <c r="U6" s="87"/>
    </row>
    <row r="7" spans="1:21" x14ac:dyDescent="0.25">
      <c r="A7" s="96" t="s">
        <v>79</v>
      </c>
      <c r="B7" s="97" t="s">
        <v>87</v>
      </c>
      <c r="C7" s="166" t="s">
        <v>134</v>
      </c>
      <c r="D7" s="167"/>
      <c r="E7" s="98">
        <v>41880</v>
      </c>
      <c r="F7" s="98">
        <v>41911</v>
      </c>
      <c r="G7" s="98">
        <v>41942</v>
      </c>
      <c r="H7" s="111">
        <v>41975</v>
      </c>
      <c r="I7" s="110">
        <v>42006</v>
      </c>
      <c r="J7" s="98">
        <v>42039</v>
      </c>
      <c r="K7" s="110">
        <v>42076</v>
      </c>
      <c r="L7" s="110">
        <v>42097</v>
      </c>
      <c r="M7" s="111">
        <v>42142</v>
      </c>
      <c r="N7" s="110">
        <v>42165</v>
      </c>
      <c r="O7" s="98">
        <v>42185</v>
      </c>
      <c r="P7" s="110">
        <v>42221</v>
      </c>
      <c r="Q7" s="87"/>
      <c r="R7" s="87"/>
      <c r="S7" s="87"/>
      <c r="T7" s="87"/>
      <c r="U7" s="87"/>
    </row>
    <row r="8" spans="1:21" x14ac:dyDescent="0.25">
      <c r="A8" s="105" t="s">
        <v>145</v>
      </c>
      <c r="B8" s="104" t="s">
        <v>88</v>
      </c>
      <c r="C8" s="166" t="s">
        <v>134</v>
      </c>
      <c r="D8" s="167"/>
      <c r="E8" s="110">
        <v>41885</v>
      </c>
      <c r="F8" s="110">
        <v>41913</v>
      </c>
      <c r="G8" s="110">
        <v>41943</v>
      </c>
      <c r="H8" s="150">
        <v>42033</v>
      </c>
      <c r="I8" s="151"/>
      <c r="J8" s="152"/>
      <c r="K8" s="150">
        <v>42122</v>
      </c>
      <c r="L8" s="151"/>
      <c r="M8" s="152"/>
      <c r="N8" s="150">
        <v>42215</v>
      </c>
      <c r="O8" s="151"/>
      <c r="P8" s="152"/>
      <c r="Q8" s="87"/>
      <c r="R8" s="87"/>
      <c r="S8" s="87"/>
      <c r="T8" s="87"/>
      <c r="U8" s="87"/>
    </row>
    <row r="9" spans="1:21" x14ac:dyDescent="0.25">
      <c r="A9" s="105" t="s">
        <v>81</v>
      </c>
      <c r="B9" s="104" t="s">
        <v>89</v>
      </c>
      <c r="C9" s="166" t="s">
        <v>134</v>
      </c>
      <c r="D9" s="167"/>
      <c r="E9" s="98">
        <v>41880</v>
      </c>
      <c r="F9" s="98">
        <v>41892</v>
      </c>
      <c r="G9" s="98">
        <v>41940</v>
      </c>
      <c r="H9" s="98">
        <v>41968</v>
      </c>
      <c r="I9" s="98">
        <v>41984</v>
      </c>
      <c r="J9" s="98">
        <v>42010</v>
      </c>
      <c r="K9" s="98">
        <v>42055</v>
      </c>
      <c r="L9" s="113" t="s">
        <v>144</v>
      </c>
      <c r="M9" s="113" t="s">
        <v>144</v>
      </c>
      <c r="N9" s="98">
        <v>42137</v>
      </c>
      <c r="O9" s="98">
        <v>42166</v>
      </c>
      <c r="P9" s="98">
        <v>42208</v>
      </c>
      <c r="Q9" s="87"/>
      <c r="R9" s="87"/>
      <c r="S9" s="87"/>
      <c r="T9" s="87"/>
      <c r="U9" s="87"/>
    </row>
    <row r="10" spans="1:21" x14ac:dyDescent="0.25">
      <c r="A10" s="96" t="s">
        <v>47</v>
      </c>
      <c r="B10" s="97" t="s">
        <v>48</v>
      </c>
      <c r="C10" s="166" t="s">
        <v>134</v>
      </c>
      <c r="D10" s="167"/>
      <c r="E10" s="98">
        <v>41873</v>
      </c>
      <c r="F10" s="98">
        <v>41886</v>
      </c>
      <c r="G10" s="98">
        <v>41926</v>
      </c>
      <c r="H10" s="110">
        <v>41977</v>
      </c>
      <c r="I10" s="110">
        <v>42052</v>
      </c>
      <c r="J10" s="110">
        <v>42069</v>
      </c>
      <c r="K10" s="110">
        <v>42104</v>
      </c>
      <c r="L10" s="110">
        <v>42104</v>
      </c>
      <c r="M10" s="110">
        <v>42163</v>
      </c>
      <c r="N10" s="110">
        <v>42163</v>
      </c>
      <c r="O10" s="98">
        <v>42172</v>
      </c>
      <c r="P10" s="98"/>
      <c r="Q10" s="87"/>
      <c r="R10" s="87"/>
      <c r="S10" s="87"/>
      <c r="T10" s="87"/>
      <c r="U10" s="87"/>
    </row>
    <row r="11" spans="1:21" x14ac:dyDescent="0.25">
      <c r="A11" s="96" t="s">
        <v>18</v>
      </c>
      <c r="B11" s="97" t="s">
        <v>19</v>
      </c>
      <c r="C11" s="166" t="s">
        <v>134</v>
      </c>
      <c r="D11" s="167"/>
      <c r="E11" s="110">
        <v>41885</v>
      </c>
      <c r="F11" s="98">
        <v>41912</v>
      </c>
      <c r="G11" s="98">
        <v>41940</v>
      </c>
      <c r="H11" s="98">
        <v>41963</v>
      </c>
      <c r="I11" s="98">
        <v>41997</v>
      </c>
      <c r="J11" s="98">
        <v>42034</v>
      </c>
      <c r="K11" s="98">
        <v>42061</v>
      </c>
      <c r="L11" s="98">
        <v>42090</v>
      </c>
      <c r="M11" s="111">
        <v>42125</v>
      </c>
      <c r="N11" s="98">
        <v>42146</v>
      </c>
      <c r="O11" s="98">
        <v>42178</v>
      </c>
      <c r="P11" s="98">
        <v>42200</v>
      </c>
      <c r="Q11" s="87"/>
      <c r="R11" s="87"/>
      <c r="S11" s="87"/>
      <c r="T11" s="87"/>
      <c r="U11" s="87"/>
    </row>
    <row r="12" spans="1:21" x14ac:dyDescent="0.25">
      <c r="A12" s="99" t="s">
        <v>151</v>
      </c>
      <c r="B12" s="97" t="s">
        <v>91</v>
      </c>
      <c r="C12" s="176" t="s">
        <v>134</v>
      </c>
      <c r="D12" s="176"/>
      <c r="E12" s="98">
        <v>41871</v>
      </c>
      <c r="F12" s="98">
        <v>41911</v>
      </c>
      <c r="G12" s="110">
        <v>41949</v>
      </c>
      <c r="H12" s="98">
        <v>41971</v>
      </c>
      <c r="I12" s="110">
        <v>42004</v>
      </c>
      <c r="J12" s="109">
        <v>42034</v>
      </c>
      <c r="K12" s="98">
        <v>42055</v>
      </c>
      <c r="L12" s="150">
        <v>42122</v>
      </c>
      <c r="M12" s="152"/>
      <c r="N12" s="150">
        <v>42215</v>
      </c>
      <c r="O12" s="151"/>
      <c r="P12" s="152"/>
      <c r="Q12" s="87"/>
      <c r="R12" s="87"/>
      <c r="S12" s="87"/>
      <c r="T12" s="87"/>
      <c r="U12" s="87"/>
    </row>
    <row r="13" spans="1:21" x14ac:dyDescent="0.25">
      <c r="A13" s="100"/>
      <c r="B13" s="101"/>
      <c r="C13" s="101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87"/>
      <c r="R13" s="87"/>
      <c r="S13" s="87"/>
      <c r="T13" s="87"/>
      <c r="U13" s="87"/>
    </row>
    <row r="14" spans="1:21" x14ac:dyDescent="0.25">
      <c r="A14" s="103" t="s">
        <v>135</v>
      </c>
      <c r="B14" s="168" t="s">
        <v>0</v>
      </c>
      <c r="C14" s="169" t="s">
        <v>122</v>
      </c>
      <c r="D14" s="169"/>
      <c r="E14" s="170" t="s">
        <v>136</v>
      </c>
      <c r="F14" s="171"/>
      <c r="G14" s="172"/>
      <c r="H14" s="170" t="s">
        <v>137</v>
      </c>
      <c r="I14" s="171" t="s">
        <v>125</v>
      </c>
      <c r="J14" s="172" t="s">
        <v>126</v>
      </c>
      <c r="K14" s="170" t="s">
        <v>138</v>
      </c>
      <c r="L14" s="171" t="s">
        <v>128</v>
      </c>
      <c r="M14" s="172" t="s">
        <v>129</v>
      </c>
      <c r="N14" s="170" t="s">
        <v>139</v>
      </c>
      <c r="O14" s="171" t="s">
        <v>131</v>
      </c>
      <c r="P14" s="172" t="s">
        <v>132</v>
      </c>
      <c r="Q14" s="87"/>
      <c r="R14" s="87"/>
      <c r="S14" s="87"/>
      <c r="T14" s="87"/>
      <c r="U14" s="87"/>
    </row>
    <row r="15" spans="1:21" ht="15.75" thickBot="1" x14ac:dyDescent="0.3">
      <c r="A15" s="93" t="s">
        <v>1</v>
      </c>
      <c r="B15" s="160"/>
      <c r="C15" s="162" t="s">
        <v>133</v>
      </c>
      <c r="D15" s="163"/>
      <c r="E15" s="173">
        <v>41942</v>
      </c>
      <c r="F15" s="174"/>
      <c r="G15" s="175"/>
      <c r="H15" s="173">
        <v>42034</v>
      </c>
      <c r="I15" s="174">
        <v>41638</v>
      </c>
      <c r="J15" s="175">
        <v>41669</v>
      </c>
      <c r="K15" s="173">
        <v>42124</v>
      </c>
      <c r="L15" s="174">
        <v>41728</v>
      </c>
      <c r="M15" s="175">
        <v>41759</v>
      </c>
      <c r="N15" s="173">
        <v>42215</v>
      </c>
      <c r="O15" s="174">
        <v>41820</v>
      </c>
      <c r="P15" s="175">
        <v>41850</v>
      </c>
      <c r="Q15" s="87"/>
      <c r="R15" s="87"/>
      <c r="S15" s="87"/>
      <c r="T15" s="87"/>
      <c r="U15" s="87"/>
    </row>
    <row r="16" spans="1:21" ht="15.75" thickTop="1" x14ac:dyDescent="0.25">
      <c r="A16" s="96" t="s">
        <v>53</v>
      </c>
      <c r="B16" s="104" t="s">
        <v>54</v>
      </c>
      <c r="C16" s="166" t="s">
        <v>134</v>
      </c>
      <c r="D16" s="167"/>
      <c r="E16" s="150">
        <v>41942</v>
      </c>
      <c r="F16" s="151"/>
      <c r="G16" s="152"/>
      <c r="H16" s="150">
        <v>42027</v>
      </c>
      <c r="I16" s="151"/>
      <c r="J16" s="152"/>
      <c r="K16" s="150">
        <v>42121</v>
      </c>
      <c r="L16" s="151"/>
      <c r="M16" s="152"/>
      <c r="N16" s="153">
        <v>42216</v>
      </c>
      <c r="O16" s="154"/>
      <c r="P16" s="155"/>
      <c r="Q16" s="87"/>
      <c r="R16" s="87"/>
      <c r="S16" s="87"/>
      <c r="T16" s="87"/>
      <c r="U16" s="87"/>
    </row>
    <row r="17" spans="1:21" x14ac:dyDescent="0.25">
      <c r="A17" s="105" t="s">
        <v>6</v>
      </c>
      <c r="B17" s="104" t="s">
        <v>25</v>
      </c>
      <c r="C17" s="166" t="s">
        <v>134</v>
      </c>
      <c r="D17" s="167"/>
      <c r="E17" s="150">
        <v>41939</v>
      </c>
      <c r="F17" s="151"/>
      <c r="G17" s="152"/>
      <c r="H17" s="150">
        <v>42033</v>
      </c>
      <c r="I17" s="151"/>
      <c r="J17" s="152"/>
      <c r="K17" s="150">
        <v>42122</v>
      </c>
      <c r="L17" s="151"/>
      <c r="M17" s="152"/>
      <c r="N17" s="150">
        <v>42215</v>
      </c>
      <c r="O17" s="151"/>
      <c r="P17" s="152"/>
      <c r="Q17" s="87"/>
      <c r="R17" s="87"/>
      <c r="S17" s="87"/>
      <c r="T17" s="87"/>
      <c r="U17" s="87"/>
    </row>
    <row r="18" spans="1:21" x14ac:dyDescent="0.25">
      <c r="A18" s="96" t="s">
        <v>6</v>
      </c>
      <c r="B18" s="104" t="s">
        <v>7</v>
      </c>
      <c r="C18" s="166" t="s">
        <v>134</v>
      </c>
      <c r="D18" s="167"/>
      <c r="E18" s="150">
        <v>41939</v>
      </c>
      <c r="F18" s="151"/>
      <c r="G18" s="152"/>
      <c r="H18" s="150">
        <v>42033</v>
      </c>
      <c r="I18" s="151"/>
      <c r="J18" s="152"/>
      <c r="K18" s="150">
        <v>42122</v>
      </c>
      <c r="L18" s="151"/>
      <c r="M18" s="152"/>
      <c r="N18" s="150">
        <v>42215</v>
      </c>
      <c r="O18" s="151"/>
      <c r="P18" s="152"/>
      <c r="Q18" s="87"/>
      <c r="R18" s="87"/>
      <c r="S18" s="87"/>
      <c r="T18" s="87"/>
      <c r="U18" s="87"/>
    </row>
    <row r="19" spans="1:21" x14ac:dyDescent="0.25">
      <c r="A19" s="105" t="s">
        <v>51</v>
      </c>
      <c r="B19" s="104" t="s">
        <v>52</v>
      </c>
      <c r="C19" s="166" t="s">
        <v>134</v>
      </c>
      <c r="D19" s="167"/>
      <c r="E19" s="153">
        <v>41960</v>
      </c>
      <c r="F19" s="154"/>
      <c r="G19" s="155"/>
      <c r="H19" s="153">
        <v>42037</v>
      </c>
      <c r="I19" s="154"/>
      <c r="J19" s="155"/>
      <c r="K19" s="150">
        <v>42110</v>
      </c>
      <c r="L19" s="151"/>
      <c r="M19" s="152"/>
      <c r="N19" s="150">
        <v>42207</v>
      </c>
      <c r="O19" s="151"/>
      <c r="P19" s="152"/>
      <c r="Q19" s="87"/>
      <c r="R19" s="87"/>
      <c r="S19" s="87"/>
      <c r="T19" s="87"/>
      <c r="U19" s="87"/>
    </row>
    <row r="20" spans="1:21" x14ac:dyDescent="0.25">
      <c r="A20" s="105" t="s">
        <v>78</v>
      </c>
      <c r="B20" s="104" t="s">
        <v>86</v>
      </c>
      <c r="C20" s="166" t="s">
        <v>134</v>
      </c>
      <c r="D20" s="167"/>
      <c r="E20" s="150">
        <v>41941</v>
      </c>
      <c r="F20" s="151"/>
      <c r="G20" s="152"/>
      <c r="H20" s="150">
        <v>42033</v>
      </c>
      <c r="I20" s="151"/>
      <c r="J20" s="152"/>
      <c r="K20" s="150">
        <v>42123</v>
      </c>
      <c r="L20" s="151"/>
      <c r="M20" s="152"/>
      <c r="N20" s="150">
        <v>42215</v>
      </c>
      <c r="O20" s="151"/>
      <c r="P20" s="152"/>
      <c r="Q20" s="87"/>
      <c r="R20" s="87"/>
      <c r="S20" s="87"/>
      <c r="T20" s="87"/>
      <c r="U20" s="87"/>
    </row>
    <row r="21" spans="1:21" x14ac:dyDescent="0.25">
      <c r="A21" s="105" t="s">
        <v>22</v>
      </c>
      <c r="B21" s="104" t="s">
        <v>23</v>
      </c>
      <c r="C21" s="166" t="s">
        <v>134</v>
      </c>
      <c r="D21" s="167"/>
      <c r="E21" s="150">
        <v>41936</v>
      </c>
      <c r="F21" s="151"/>
      <c r="G21" s="152"/>
      <c r="H21" s="150">
        <v>42030</v>
      </c>
      <c r="I21" s="151"/>
      <c r="J21" s="152"/>
      <c r="K21" s="150">
        <v>42123</v>
      </c>
      <c r="L21" s="151"/>
      <c r="M21" s="152"/>
      <c r="N21" s="150">
        <v>42209</v>
      </c>
      <c r="O21" s="151"/>
      <c r="P21" s="152"/>
      <c r="Q21" s="87"/>
      <c r="R21" s="87"/>
      <c r="S21" s="87"/>
      <c r="T21" s="87"/>
      <c r="U21" s="87"/>
    </row>
    <row r="22" spans="1:21" x14ac:dyDescent="0.25">
      <c r="A22" s="105" t="s">
        <v>37</v>
      </c>
      <c r="B22" s="104" t="s">
        <v>38</v>
      </c>
      <c r="C22" s="166" t="s">
        <v>134</v>
      </c>
      <c r="D22" s="167"/>
      <c r="E22" s="150">
        <v>41937</v>
      </c>
      <c r="F22" s="151"/>
      <c r="G22" s="152"/>
      <c r="H22" s="150">
        <v>42030</v>
      </c>
      <c r="I22" s="151"/>
      <c r="J22" s="152"/>
      <c r="K22" s="150" t="s">
        <v>144</v>
      </c>
      <c r="L22" s="151"/>
      <c r="M22" s="152"/>
      <c r="N22" s="150" t="s">
        <v>144</v>
      </c>
      <c r="O22" s="151"/>
      <c r="P22" s="152"/>
      <c r="Q22" s="87"/>
      <c r="R22" s="87"/>
      <c r="S22" s="87"/>
      <c r="T22" s="87"/>
      <c r="U22" s="87"/>
    </row>
    <row r="23" spans="1:21" x14ac:dyDescent="0.25">
      <c r="A23" s="96" t="s">
        <v>64</v>
      </c>
      <c r="B23" s="104" t="s">
        <v>65</v>
      </c>
      <c r="C23" s="166" t="s">
        <v>134</v>
      </c>
      <c r="D23" s="167"/>
      <c r="E23" s="150">
        <v>41936</v>
      </c>
      <c r="F23" s="151"/>
      <c r="G23" s="152"/>
      <c r="H23" s="150">
        <v>42032</v>
      </c>
      <c r="I23" s="151"/>
      <c r="J23" s="152"/>
      <c r="K23" s="150">
        <v>42131</v>
      </c>
      <c r="L23" s="151"/>
      <c r="M23" s="152"/>
      <c r="N23" s="150">
        <v>42213</v>
      </c>
      <c r="O23" s="151"/>
      <c r="P23" s="152"/>
      <c r="Q23" s="87"/>
      <c r="R23" s="87"/>
      <c r="S23" s="87"/>
      <c r="T23" s="87"/>
      <c r="U23" s="87"/>
    </row>
    <row r="24" spans="1:21" x14ac:dyDescent="0.25">
      <c r="A24" s="96" t="s">
        <v>20</v>
      </c>
      <c r="B24" s="104" t="s">
        <v>21</v>
      </c>
      <c r="C24" s="166" t="s">
        <v>134</v>
      </c>
      <c r="D24" s="167"/>
      <c r="E24" s="150">
        <v>41941</v>
      </c>
      <c r="F24" s="151"/>
      <c r="G24" s="152"/>
      <c r="H24" s="150">
        <v>42026</v>
      </c>
      <c r="I24" s="151"/>
      <c r="J24" s="152"/>
      <c r="K24" s="150">
        <v>42124</v>
      </c>
      <c r="L24" s="151"/>
      <c r="M24" s="152"/>
      <c r="N24" s="150">
        <v>42200</v>
      </c>
      <c r="O24" s="151"/>
      <c r="P24" s="152"/>
      <c r="Q24" s="87"/>
      <c r="R24" s="87"/>
      <c r="S24" s="87"/>
      <c r="T24" s="87"/>
      <c r="U24" s="87"/>
    </row>
    <row r="25" spans="1:21" x14ac:dyDescent="0.25">
      <c r="A25" s="105" t="s">
        <v>34</v>
      </c>
      <c r="B25" s="104" t="s">
        <v>35</v>
      </c>
      <c r="C25" s="166" t="s">
        <v>134</v>
      </c>
      <c r="D25" s="167"/>
      <c r="E25" s="150">
        <v>41935</v>
      </c>
      <c r="F25" s="151"/>
      <c r="G25" s="152"/>
      <c r="H25" s="150" t="s">
        <v>144</v>
      </c>
      <c r="I25" s="151"/>
      <c r="J25" s="152"/>
      <c r="K25" s="150" t="s">
        <v>144</v>
      </c>
      <c r="L25" s="151"/>
      <c r="M25" s="152"/>
      <c r="N25" s="150">
        <v>42199</v>
      </c>
      <c r="O25" s="151"/>
      <c r="P25" s="152"/>
      <c r="Q25" s="87"/>
      <c r="R25" s="87"/>
      <c r="S25" s="87"/>
      <c r="T25" s="87"/>
      <c r="U25" s="87"/>
    </row>
    <row r="26" spans="1:21" x14ac:dyDescent="0.25">
      <c r="A26" s="96" t="s">
        <v>62</v>
      </c>
      <c r="B26" s="104" t="s">
        <v>36</v>
      </c>
      <c r="C26" s="166" t="s">
        <v>134</v>
      </c>
      <c r="D26" s="167"/>
      <c r="E26" s="150" t="s">
        <v>144</v>
      </c>
      <c r="F26" s="151"/>
      <c r="G26" s="152"/>
      <c r="H26" s="150">
        <v>42024</v>
      </c>
      <c r="I26" s="151"/>
      <c r="J26" s="152"/>
      <c r="K26" s="150">
        <v>42111</v>
      </c>
      <c r="L26" s="151"/>
      <c r="M26" s="152"/>
      <c r="N26" s="150">
        <v>42199</v>
      </c>
      <c r="O26" s="151"/>
      <c r="P26" s="152"/>
      <c r="Q26" s="87"/>
      <c r="R26" s="87"/>
      <c r="S26" s="87"/>
      <c r="T26" s="87"/>
      <c r="U26" s="87"/>
    </row>
    <row r="27" spans="1:21" x14ac:dyDescent="0.25">
      <c r="A27" s="96" t="s">
        <v>69</v>
      </c>
      <c r="B27" s="104" t="s">
        <v>70</v>
      </c>
      <c r="C27" s="166" t="s">
        <v>134</v>
      </c>
      <c r="D27" s="167"/>
      <c r="E27" s="150">
        <v>41942</v>
      </c>
      <c r="F27" s="151"/>
      <c r="G27" s="152"/>
      <c r="H27" s="150">
        <v>42033</v>
      </c>
      <c r="I27" s="151"/>
      <c r="J27" s="152"/>
      <c r="K27" s="150">
        <v>42123</v>
      </c>
      <c r="L27" s="151"/>
      <c r="M27" s="152"/>
      <c r="N27" s="150">
        <v>42215</v>
      </c>
      <c r="O27" s="151"/>
      <c r="P27" s="152"/>
      <c r="Q27" s="87"/>
      <c r="R27" s="87"/>
      <c r="S27" s="87"/>
      <c r="T27" s="87"/>
      <c r="U27" s="87"/>
    </row>
    <row r="28" spans="1:21" x14ac:dyDescent="0.25">
      <c r="A28" s="96" t="s">
        <v>66</v>
      </c>
      <c r="B28" s="104" t="s">
        <v>67</v>
      </c>
      <c r="C28" s="166" t="s">
        <v>134</v>
      </c>
      <c r="D28" s="167"/>
      <c r="E28" s="153">
        <v>41948</v>
      </c>
      <c r="F28" s="154"/>
      <c r="G28" s="155"/>
      <c r="H28" s="150">
        <v>42034</v>
      </c>
      <c r="I28" s="151"/>
      <c r="J28" s="152"/>
      <c r="K28" s="150">
        <v>42122</v>
      </c>
      <c r="L28" s="151"/>
      <c r="M28" s="152"/>
      <c r="N28" s="150">
        <v>42206</v>
      </c>
      <c r="O28" s="151"/>
      <c r="P28" s="152"/>
      <c r="Q28" s="87"/>
      <c r="R28" s="87"/>
      <c r="S28" s="87"/>
      <c r="T28" s="87"/>
      <c r="U28" s="87"/>
    </row>
    <row r="29" spans="1:21" x14ac:dyDescent="0.25">
      <c r="A29" s="105" t="s">
        <v>6</v>
      </c>
      <c r="B29" s="104" t="s">
        <v>55</v>
      </c>
      <c r="C29" s="166" t="s">
        <v>134</v>
      </c>
      <c r="D29" s="167"/>
      <c r="E29" s="150">
        <v>41939</v>
      </c>
      <c r="F29" s="151"/>
      <c r="G29" s="152"/>
      <c r="H29" s="150">
        <v>42033</v>
      </c>
      <c r="I29" s="151"/>
      <c r="J29" s="152"/>
      <c r="K29" s="150">
        <v>42122</v>
      </c>
      <c r="L29" s="151"/>
      <c r="M29" s="152"/>
      <c r="N29" s="150">
        <v>42215</v>
      </c>
      <c r="O29" s="151"/>
      <c r="P29" s="152"/>
      <c r="Q29" s="87"/>
      <c r="R29" s="87"/>
      <c r="S29" s="87"/>
      <c r="T29" s="87"/>
      <c r="U29" s="87"/>
    </row>
    <row r="30" spans="1:21" x14ac:dyDescent="0.25">
      <c r="A30" s="105" t="s">
        <v>60</v>
      </c>
      <c r="B30" s="104" t="s">
        <v>61</v>
      </c>
      <c r="C30" s="166" t="s">
        <v>134</v>
      </c>
      <c r="D30" s="167"/>
      <c r="E30" s="150">
        <v>41937</v>
      </c>
      <c r="F30" s="151"/>
      <c r="G30" s="152"/>
      <c r="H30" s="150">
        <v>42033</v>
      </c>
      <c r="I30" s="151"/>
      <c r="J30" s="152"/>
      <c r="K30" s="150">
        <v>42121</v>
      </c>
      <c r="L30" s="151"/>
      <c r="M30" s="152"/>
      <c r="N30" s="150">
        <v>42205</v>
      </c>
      <c r="O30" s="151"/>
      <c r="P30" s="152"/>
      <c r="Q30" s="87"/>
      <c r="R30" s="87"/>
      <c r="S30" s="87"/>
      <c r="T30" s="87"/>
      <c r="U30" s="87"/>
    </row>
    <row r="31" spans="1:21" x14ac:dyDescent="0.25">
      <c r="A31" s="105" t="s">
        <v>6</v>
      </c>
      <c r="B31" s="104" t="s">
        <v>8</v>
      </c>
      <c r="C31" s="166" t="s">
        <v>134</v>
      </c>
      <c r="D31" s="167"/>
      <c r="E31" s="150">
        <v>41939</v>
      </c>
      <c r="F31" s="151"/>
      <c r="G31" s="152"/>
      <c r="H31" s="150">
        <v>42033</v>
      </c>
      <c r="I31" s="151"/>
      <c r="J31" s="152"/>
      <c r="K31" s="150">
        <v>42122</v>
      </c>
      <c r="L31" s="151"/>
      <c r="M31" s="152"/>
      <c r="N31" s="150">
        <v>42215</v>
      </c>
      <c r="O31" s="151"/>
      <c r="P31" s="152"/>
      <c r="Q31" s="87"/>
      <c r="R31" s="87"/>
      <c r="S31" s="87"/>
      <c r="T31" s="87"/>
      <c r="U31" s="87"/>
    </row>
    <row r="32" spans="1:21" x14ac:dyDescent="0.25">
      <c r="A32" s="105" t="s">
        <v>6</v>
      </c>
      <c r="B32" s="104" t="s">
        <v>9</v>
      </c>
      <c r="C32" s="166" t="s">
        <v>134</v>
      </c>
      <c r="D32" s="167"/>
      <c r="E32" s="150">
        <v>41939</v>
      </c>
      <c r="F32" s="151"/>
      <c r="G32" s="152"/>
      <c r="H32" s="150">
        <v>42033</v>
      </c>
      <c r="I32" s="151"/>
      <c r="J32" s="152"/>
      <c r="K32" s="150">
        <v>42122</v>
      </c>
      <c r="L32" s="151"/>
      <c r="M32" s="152"/>
      <c r="N32" s="150">
        <v>42215</v>
      </c>
      <c r="O32" s="151"/>
      <c r="P32" s="152"/>
      <c r="Q32" s="87"/>
      <c r="R32" s="87"/>
      <c r="S32" s="87"/>
      <c r="T32" s="87"/>
      <c r="U32" s="87"/>
    </row>
    <row r="33" spans="1:21" x14ac:dyDescent="0.25">
      <c r="A33" s="96" t="s">
        <v>6</v>
      </c>
      <c r="B33" s="97" t="s">
        <v>14</v>
      </c>
      <c r="C33" s="166" t="s">
        <v>134</v>
      </c>
      <c r="D33" s="167"/>
      <c r="E33" s="150">
        <v>41939</v>
      </c>
      <c r="F33" s="151"/>
      <c r="G33" s="152"/>
      <c r="H33" s="150">
        <v>42033</v>
      </c>
      <c r="I33" s="151"/>
      <c r="J33" s="152"/>
      <c r="K33" s="150">
        <v>42122</v>
      </c>
      <c r="L33" s="151"/>
      <c r="M33" s="152"/>
      <c r="N33" s="150">
        <v>42215</v>
      </c>
      <c r="O33" s="151"/>
      <c r="P33" s="152"/>
      <c r="Q33" s="87"/>
      <c r="R33" s="87"/>
      <c r="S33" s="87"/>
      <c r="T33" s="87"/>
      <c r="U33" s="87"/>
    </row>
    <row r="34" spans="1:21" x14ac:dyDescent="0.25">
      <c r="A34" s="96" t="s">
        <v>56</v>
      </c>
      <c r="B34" s="104" t="s">
        <v>57</v>
      </c>
      <c r="C34" s="166" t="s">
        <v>134</v>
      </c>
      <c r="D34" s="167"/>
      <c r="E34" s="153">
        <v>41943</v>
      </c>
      <c r="F34" s="154"/>
      <c r="G34" s="155"/>
      <c r="H34" s="150">
        <v>42033</v>
      </c>
      <c r="I34" s="151"/>
      <c r="J34" s="152"/>
      <c r="K34" s="150">
        <v>42123</v>
      </c>
      <c r="L34" s="151"/>
      <c r="M34" s="152"/>
      <c r="N34" s="150">
        <v>42214</v>
      </c>
      <c r="O34" s="151"/>
      <c r="P34" s="152"/>
      <c r="Q34" s="87"/>
      <c r="R34" s="87"/>
      <c r="S34" s="87"/>
      <c r="T34" s="87"/>
      <c r="U34" s="87"/>
    </row>
    <row r="35" spans="1:21" x14ac:dyDescent="0.25">
      <c r="A35" s="96" t="s">
        <v>6</v>
      </c>
      <c r="B35" s="97" t="s">
        <v>15</v>
      </c>
      <c r="C35" s="166" t="s">
        <v>134</v>
      </c>
      <c r="D35" s="167"/>
      <c r="E35" s="150">
        <v>41939</v>
      </c>
      <c r="F35" s="151"/>
      <c r="G35" s="152"/>
      <c r="H35" s="150">
        <v>42033</v>
      </c>
      <c r="I35" s="151"/>
      <c r="J35" s="152"/>
      <c r="K35" s="150">
        <v>42122</v>
      </c>
      <c r="L35" s="151"/>
      <c r="M35" s="152"/>
      <c r="N35" s="150">
        <v>42215</v>
      </c>
      <c r="O35" s="151"/>
      <c r="P35" s="152"/>
      <c r="Q35" s="87"/>
      <c r="R35" s="87"/>
      <c r="S35" s="87"/>
      <c r="T35" s="87"/>
      <c r="U35" s="87"/>
    </row>
    <row r="36" spans="1:21" x14ac:dyDescent="0.25">
      <c r="A36" s="105" t="s">
        <v>6</v>
      </c>
      <c r="B36" s="104" t="s">
        <v>26</v>
      </c>
      <c r="C36" s="166" t="s">
        <v>134</v>
      </c>
      <c r="D36" s="167"/>
      <c r="E36" s="150">
        <v>41939</v>
      </c>
      <c r="F36" s="151"/>
      <c r="G36" s="152"/>
      <c r="H36" s="150">
        <v>42033</v>
      </c>
      <c r="I36" s="151"/>
      <c r="J36" s="152"/>
      <c r="K36" s="150">
        <v>42122</v>
      </c>
      <c r="L36" s="151"/>
      <c r="M36" s="152"/>
      <c r="N36" s="150">
        <v>42215</v>
      </c>
      <c r="O36" s="151"/>
      <c r="P36" s="152"/>
      <c r="Q36" s="87"/>
      <c r="R36" s="87"/>
      <c r="S36" s="87"/>
      <c r="T36" s="87"/>
      <c r="U36" s="87"/>
    </row>
    <row r="37" spans="1:21" x14ac:dyDescent="0.25">
      <c r="A37" s="96" t="s">
        <v>45</v>
      </c>
      <c r="B37" s="104" t="s">
        <v>46</v>
      </c>
      <c r="C37" s="166" t="s">
        <v>134</v>
      </c>
      <c r="D37" s="167"/>
      <c r="E37" s="150">
        <v>41939</v>
      </c>
      <c r="F37" s="151"/>
      <c r="G37" s="152"/>
      <c r="H37" s="150">
        <v>42020</v>
      </c>
      <c r="I37" s="151"/>
      <c r="J37" s="152"/>
      <c r="K37" s="150">
        <v>42107</v>
      </c>
      <c r="L37" s="151"/>
      <c r="M37" s="152"/>
      <c r="N37" s="150">
        <v>42184</v>
      </c>
      <c r="O37" s="151"/>
      <c r="P37" s="152"/>
      <c r="Q37" s="87"/>
      <c r="R37" s="87"/>
      <c r="S37" s="87"/>
      <c r="T37" s="87"/>
      <c r="U37" s="87"/>
    </row>
    <row r="38" spans="1:21" x14ac:dyDescent="0.25">
      <c r="A38" s="108" t="s">
        <v>120</v>
      </c>
      <c r="B38" s="97" t="s">
        <v>68</v>
      </c>
      <c r="C38" s="166" t="s">
        <v>134</v>
      </c>
      <c r="D38" s="167"/>
      <c r="E38" s="150">
        <v>41932</v>
      </c>
      <c r="F38" s="151"/>
      <c r="G38" s="152"/>
      <c r="H38" s="150">
        <v>42026</v>
      </c>
      <c r="I38" s="151"/>
      <c r="J38" s="152"/>
      <c r="K38" s="150">
        <v>42116</v>
      </c>
      <c r="L38" s="151"/>
      <c r="M38" s="152"/>
      <c r="N38" s="150">
        <v>42207</v>
      </c>
      <c r="O38" s="151"/>
      <c r="P38" s="152"/>
      <c r="Q38" s="87"/>
      <c r="R38" s="87"/>
      <c r="S38" s="87"/>
      <c r="T38" s="87"/>
      <c r="U38" s="87"/>
    </row>
    <row r="39" spans="1:21" x14ac:dyDescent="0.25">
      <c r="A39" s="105" t="s">
        <v>6</v>
      </c>
      <c r="B39" s="104" t="s">
        <v>27</v>
      </c>
      <c r="C39" s="166" t="s">
        <v>134</v>
      </c>
      <c r="D39" s="167"/>
      <c r="E39" s="150">
        <v>41939</v>
      </c>
      <c r="F39" s="151"/>
      <c r="G39" s="152"/>
      <c r="H39" s="150">
        <v>42033</v>
      </c>
      <c r="I39" s="151"/>
      <c r="J39" s="152"/>
      <c r="K39" s="150">
        <v>42122</v>
      </c>
      <c r="L39" s="151"/>
      <c r="M39" s="152"/>
      <c r="N39" s="150">
        <v>42215</v>
      </c>
      <c r="O39" s="151"/>
      <c r="P39" s="152"/>
      <c r="Q39" s="87"/>
      <c r="R39" s="87"/>
      <c r="S39" s="87"/>
      <c r="T39" s="87"/>
      <c r="U39" s="87"/>
    </row>
    <row r="40" spans="1:21" x14ac:dyDescent="0.25">
      <c r="A40" s="96" t="s">
        <v>6</v>
      </c>
      <c r="B40" s="104" t="s">
        <v>73</v>
      </c>
      <c r="C40" s="166" t="s">
        <v>134</v>
      </c>
      <c r="D40" s="167"/>
      <c r="E40" s="150">
        <v>41939</v>
      </c>
      <c r="F40" s="151"/>
      <c r="G40" s="152"/>
      <c r="H40" s="150">
        <v>42033</v>
      </c>
      <c r="I40" s="151"/>
      <c r="J40" s="152"/>
      <c r="K40" s="150">
        <v>42122</v>
      </c>
      <c r="L40" s="151"/>
      <c r="M40" s="152"/>
      <c r="N40" s="150">
        <v>42215</v>
      </c>
      <c r="O40" s="151"/>
      <c r="P40" s="152"/>
      <c r="Q40" s="87"/>
      <c r="R40" s="87"/>
      <c r="S40" s="87"/>
      <c r="T40" s="87"/>
      <c r="U40" s="87"/>
    </row>
    <row r="41" spans="1:21" x14ac:dyDescent="0.25">
      <c r="A41" s="96" t="s">
        <v>62</v>
      </c>
      <c r="B41" s="104" t="s">
        <v>63</v>
      </c>
      <c r="C41" s="166" t="s">
        <v>134</v>
      </c>
      <c r="D41" s="167"/>
      <c r="E41" s="150">
        <v>41933</v>
      </c>
      <c r="F41" s="151"/>
      <c r="G41" s="152"/>
      <c r="H41" s="150">
        <v>42024</v>
      </c>
      <c r="I41" s="151"/>
      <c r="J41" s="152"/>
      <c r="K41" s="150">
        <v>42111</v>
      </c>
      <c r="L41" s="151"/>
      <c r="M41" s="152"/>
      <c r="N41" s="150">
        <v>42199</v>
      </c>
      <c r="O41" s="151"/>
      <c r="P41" s="152"/>
      <c r="Q41" s="87"/>
      <c r="R41" s="87"/>
      <c r="S41" s="87"/>
      <c r="T41" s="87"/>
      <c r="U41" s="87"/>
    </row>
    <row r="42" spans="1:21" x14ac:dyDescent="0.25">
      <c r="A42" s="105" t="s">
        <v>32</v>
      </c>
      <c r="B42" s="104" t="s">
        <v>33</v>
      </c>
      <c r="C42" s="166" t="s">
        <v>134</v>
      </c>
      <c r="D42" s="167"/>
      <c r="E42" s="150">
        <v>41941</v>
      </c>
      <c r="F42" s="151"/>
      <c r="G42" s="152"/>
      <c r="H42" s="150">
        <v>42031</v>
      </c>
      <c r="I42" s="151"/>
      <c r="J42" s="152"/>
      <c r="K42" s="150">
        <v>42121</v>
      </c>
      <c r="L42" s="151"/>
      <c r="M42" s="152"/>
      <c r="N42" s="150">
        <v>42213</v>
      </c>
      <c r="O42" s="151"/>
      <c r="P42" s="152"/>
      <c r="Q42" s="87"/>
      <c r="R42" s="87"/>
      <c r="S42" s="87"/>
      <c r="T42" s="87"/>
      <c r="U42" s="87"/>
    </row>
    <row r="43" spans="1:21" x14ac:dyDescent="0.25">
      <c r="A43" s="96" t="s">
        <v>16</v>
      </c>
      <c r="B43" s="104" t="s">
        <v>17</v>
      </c>
      <c r="C43" s="166" t="s">
        <v>134</v>
      </c>
      <c r="D43" s="167"/>
      <c r="E43" s="150">
        <v>41926</v>
      </c>
      <c r="F43" s="151"/>
      <c r="G43" s="152"/>
      <c r="H43" s="150">
        <v>42020</v>
      </c>
      <c r="I43" s="151"/>
      <c r="J43" s="152"/>
      <c r="K43" s="150">
        <v>42103</v>
      </c>
      <c r="L43" s="151"/>
      <c r="M43" s="152"/>
      <c r="N43" s="150">
        <v>42188</v>
      </c>
      <c r="O43" s="151"/>
      <c r="P43" s="152"/>
      <c r="Q43" s="87"/>
      <c r="R43" s="87"/>
      <c r="S43" s="87"/>
      <c r="T43" s="87"/>
      <c r="U43" s="87"/>
    </row>
    <row r="44" spans="1:21" x14ac:dyDescent="0.25">
      <c r="A44" s="105" t="s">
        <v>6</v>
      </c>
      <c r="B44" s="104" t="s">
        <v>30</v>
      </c>
      <c r="C44" s="166" t="s">
        <v>134</v>
      </c>
      <c r="D44" s="167"/>
      <c r="E44" s="150">
        <v>41939</v>
      </c>
      <c r="F44" s="151"/>
      <c r="G44" s="152"/>
      <c r="H44" s="150">
        <v>42033</v>
      </c>
      <c r="I44" s="151"/>
      <c r="J44" s="152"/>
      <c r="K44" s="150">
        <v>42122</v>
      </c>
      <c r="L44" s="151"/>
      <c r="M44" s="152"/>
      <c r="N44" s="150">
        <v>42215</v>
      </c>
      <c r="O44" s="151"/>
      <c r="P44" s="152"/>
      <c r="Q44" s="87"/>
      <c r="R44" s="87"/>
      <c r="S44" s="87"/>
      <c r="T44" s="87"/>
      <c r="U44" s="87"/>
    </row>
    <row r="45" spans="1:21" x14ac:dyDescent="0.25">
      <c r="A45" s="96" t="s">
        <v>6</v>
      </c>
      <c r="B45" s="104" t="s">
        <v>28</v>
      </c>
      <c r="C45" s="166" t="s">
        <v>134</v>
      </c>
      <c r="D45" s="167"/>
      <c r="E45" s="150">
        <v>41939</v>
      </c>
      <c r="F45" s="151"/>
      <c r="G45" s="152"/>
      <c r="H45" s="150">
        <v>42033</v>
      </c>
      <c r="I45" s="151"/>
      <c r="J45" s="152"/>
      <c r="K45" s="150">
        <v>42122</v>
      </c>
      <c r="L45" s="151"/>
      <c r="M45" s="152"/>
      <c r="N45" s="150">
        <v>42215</v>
      </c>
      <c r="O45" s="151"/>
      <c r="P45" s="152"/>
      <c r="Q45" s="87"/>
      <c r="R45" s="87"/>
      <c r="S45" s="87"/>
      <c r="T45" s="87"/>
      <c r="U45" s="87"/>
    </row>
    <row r="46" spans="1:21" x14ac:dyDescent="0.25">
      <c r="A46" s="105" t="s">
        <v>6</v>
      </c>
      <c r="B46" s="104" t="s">
        <v>10</v>
      </c>
      <c r="C46" s="166" t="s">
        <v>134</v>
      </c>
      <c r="D46" s="167"/>
      <c r="E46" s="150">
        <v>41939</v>
      </c>
      <c r="F46" s="151"/>
      <c r="G46" s="152"/>
      <c r="H46" s="150">
        <v>42033</v>
      </c>
      <c r="I46" s="151"/>
      <c r="J46" s="152"/>
      <c r="K46" s="150">
        <v>42122</v>
      </c>
      <c r="L46" s="151"/>
      <c r="M46" s="152"/>
      <c r="N46" s="150">
        <v>42215</v>
      </c>
      <c r="O46" s="151"/>
      <c r="P46" s="152"/>
      <c r="Q46" s="87"/>
      <c r="R46" s="87"/>
      <c r="S46" s="87"/>
      <c r="T46" s="87"/>
      <c r="U46" s="87"/>
    </row>
    <row r="47" spans="1:21" x14ac:dyDescent="0.25">
      <c r="A47" s="96" t="s">
        <v>74</v>
      </c>
      <c r="B47" s="104" t="s">
        <v>75</v>
      </c>
      <c r="C47" s="166" t="s">
        <v>134</v>
      </c>
      <c r="D47" s="167"/>
      <c r="E47" s="150" t="s">
        <v>144</v>
      </c>
      <c r="F47" s="151"/>
      <c r="G47" s="152"/>
      <c r="H47" s="150">
        <v>42039</v>
      </c>
      <c r="I47" s="151"/>
      <c r="J47" s="152"/>
      <c r="K47" s="150">
        <v>42124</v>
      </c>
      <c r="L47" s="151"/>
      <c r="M47" s="152"/>
      <c r="N47" s="153">
        <v>42221</v>
      </c>
      <c r="O47" s="154"/>
      <c r="P47" s="155"/>
      <c r="Q47" s="87"/>
      <c r="R47" s="87"/>
      <c r="S47" s="87"/>
      <c r="T47" s="87"/>
      <c r="U47" s="87"/>
    </row>
    <row r="48" spans="1:21" x14ac:dyDescent="0.25">
      <c r="A48" s="105" t="s">
        <v>6</v>
      </c>
      <c r="B48" s="104" t="s">
        <v>11</v>
      </c>
      <c r="C48" s="166" t="s">
        <v>134</v>
      </c>
      <c r="D48" s="167"/>
      <c r="E48" s="150">
        <v>41939</v>
      </c>
      <c r="F48" s="151"/>
      <c r="G48" s="152"/>
      <c r="H48" s="150">
        <v>42033</v>
      </c>
      <c r="I48" s="151"/>
      <c r="J48" s="152"/>
      <c r="K48" s="150">
        <v>42122</v>
      </c>
      <c r="L48" s="151"/>
      <c r="M48" s="152"/>
      <c r="N48" s="150">
        <v>42215</v>
      </c>
      <c r="O48" s="151"/>
      <c r="P48" s="152"/>
      <c r="Q48" s="87"/>
      <c r="R48" s="87"/>
      <c r="S48" s="87"/>
      <c r="T48" s="87"/>
      <c r="U48" s="87"/>
    </row>
    <row r="49" spans="1:21" x14ac:dyDescent="0.25">
      <c r="A49" s="105" t="s">
        <v>39</v>
      </c>
      <c r="B49" s="104" t="s">
        <v>40</v>
      </c>
      <c r="C49" s="166" t="s">
        <v>134</v>
      </c>
      <c r="D49" s="167"/>
      <c r="E49" s="150">
        <v>41941</v>
      </c>
      <c r="F49" s="151"/>
      <c r="G49" s="152"/>
      <c r="H49" s="150">
        <v>42033</v>
      </c>
      <c r="I49" s="151"/>
      <c r="J49" s="152"/>
      <c r="K49" s="150">
        <v>42123</v>
      </c>
      <c r="L49" s="151"/>
      <c r="M49" s="152"/>
      <c r="N49" s="150">
        <v>42214</v>
      </c>
      <c r="O49" s="151"/>
      <c r="P49" s="152"/>
      <c r="Q49" s="87"/>
      <c r="R49" s="87"/>
      <c r="S49" s="87"/>
      <c r="T49" s="87"/>
      <c r="U49" s="87"/>
    </row>
    <row r="50" spans="1:21" x14ac:dyDescent="0.25">
      <c r="A50" s="96" t="s">
        <v>6</v>
      </c>
      <c r="B50" s="104" t="s">
        <v>31</v>
      </c>
      <c r="C50" s="166" t="s">
        <v>134</v>
      </c>
      <c r="D50" s="167"/>
      <c r="E50" s="150">
        <v>41939</v>
      </c>
      <c r="F50" s="151"/>
      <c r="G50" s="152"/>
      <c r="H50" s="150">
        <v>42033</v>
      </c>
      <c r="I50" s="151"/>
      <c r="J50" s="152"/>
      <c r="K50" s="150">
        <v>42122</v>
      </c>
      <c r="L50" s="151"/>
      <c r="M50" s="152"/>
      <c r="N50" s="150">
        <v>42215</v>
      </c>
      <c r="O50" s="151"/>
      <c r="P50" s="152"/>
      <c r="Q50" s="87"/>
      <c r="R50" s="87"/>
      <c r="S50" s="87"/>
      <c r="T50" s="87"/>
      <c r="U50" s="87"/>
    </row>
    <row r="51" spans="1:21" x14ac:dyDescent="0.25">
      <c r="A51" s="96" t="s">
        <v>6</v>
      </c>
      <c r="B51" s="104" t="s">
        <v>24</v>
      </c>
      <c r="C51" s="166" t="s">
        <v>134</v>
      </c>
      <c r="D51" s="167"/>
      <c r="E51" s="150">
        <v>41939</v>
      </c>
      <c r="F51" s="151"/>
      <c r="G51" s="152"/>
      <c r="H51" s="150">
        <v>42033</v>
      </c>
      <c r="I51" s="151"/>
      <c r="J51" s="152"/>
      <c r="K51" s="150">
        <v>42122</v>
      </c>
      <c r="L51" s="151"/>
      <c r="M51" s="152"/>
      <c r="N51" s="150">
        <v>42215</v>
      </c>
      <c r="O51" s="151"/>
      <c r="P51" s="152"/>
      <c r="Q51" s="87"/>
      <c r="R51" s="87"/>
      <c r="S51" s="87"/>
      <c r="T51" s="87"/>
      <c r="U51" s="87"/>
    </row>
    <row r="52" spans="1:21" ht="15" customHeight="1" x14ac:dyDescent="0.25">
      <c r="A52" s="96" t="s">
        <v>6</v>
      </c>
      <c r="B52" s="104" t="s">
        <v>29</v>
      </c>
      <c r="C52" s="166" t="s">
        <v>134</v>
      </c>
      <c r="D52" s="167"/>
      <c r="E52" s="150">
        <v>41939</v>
      </c>
      <c r="F52" s="151"/>
      <c r="G52" s="152"/>
      <c r="H52" s="150">
        <v>42033</v>
      </c>
      <c r="I52" s="151"/>
      <c r="J52" s="152"/>
      <c r="K52" s="150">
        <v>42122</v>
      </c>
      <c r="L52" s="151"/>
      <c r="M52" s="152"/>
      <c r="N52" s="150">
        <v>42215</v>
      </c>
      <c r="O52" s="151"/>
      <c r="P52" s="152"/>
      <c r="Q52" s="87"/>
      <c r="R52" s="87"/>
      <c r="S52" s="87"/>
      <c r="T52" s="87"/>
      <c r="U52" s="87"/>
    </row>
    <row r="53" spans="1:21" x14ac:dyDescent="0.25">
      <c r="A53" s="96" t="s">
        <v>6</v>
      </c>
      <c r="B53" s="104" t="s">
        <v>101</v>
      </c>
      <c r="C53" s="166" t="s">
        <v>134</v>
      </c>
      <c r="D53" s="167"/>
      <c r="E53" s="150">
        <v>41932</v>
      </c>
      <c r="F53" s="151"/>
      <c r="G53" s="152"/>
      <c r="H53" s="150">
        <v>42033</v>
      </c>
      <c r="I53" s="151"/>
      <c r="J53" s="152"/>
      <c r="K53" s="150">
        <v>42122</v>
      </c>
      <c r="L53" s="151"/>
      <c r="M53" s="152"/>
      <c r="N53" s="150">
        <v>42215</v>
      </c>
      <c r="O53" s="151"/>
      <c r="P53" s="152"/>
      <c r="Q53" s="87"/>
      <c r="R53" s="87"/>
      <c r="S53" s="87"/>
      <c r="T53" s="87"/>
      <c r="U53" s="87"/>
    </row>
    <row r="54" spans="1:21" x14ac:dyDescent="0.25">
      <c r="A54" s="100"/>
      <c r="B54" s="101"/>
      <c r="C54" s="101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87"/>
      <c r="R54" s="87"/>
      <c r="S54" s="87"/>
      <c r="T54" s="87"/>
      <c r="U54" s="87"/>
    </row>
    <row r="55" spans="1:21" x14ac:dyDescent="0.25">
      <c r="A55" s="88" t="s">
        <v>140</v>
      </c>
      <c r="B55" s="159" t="s">
        <v>0</v>
      </c>
      <c r="C55" s="161" t="s">
        <v>122</v>
      </c>
      <c r="D55" s="161"/>
      <c r="E55" s="177" t="s">
        <v>141</v>
      </c>
      <c r="F55" s="178"/>
      <c r="G55" s="178"/>
      <c r="H55" s="178"/>
      <c r="I55" s="178"/>
      <c r="J55" s="179"/>
      <c r="K55" s="177" t="s">
        <v>142</v>
      </c>
      <c r="L55" s="178"/>
      <c r="M55" s="178"/>
      <c r="N55" s="178"/>
      <c r="O55" s="178"/>
      <c r="P55" s="179"/>
      <c r="Q55" s="87"/>
      <c r="R55" s="87"/>
      <c r="S55" s="87"/>
      <c r="T55" s="87"/>
      <c r="U55" s="87"/>
    </row>
    <row r="56" spans="1:21" ht="15.75" thickBot="1" x14ac:dyDescent="0.3">
      <c r="A56" s="106" t="s">
        <v>1</v>
      </c>
      <c r="B56" s="160"/>
      <c r="C56" s="162" t="s">
        <v>133</v>
      </c>
      <c r="D56" s="163"/>
      <c r="E56" s="173">
        <v>42034</v>
      </c>
      <c r="F56" s="174"/>
      <c r="G56" s="174"/>
      <c r="H56" s="174"/>
      <c r="I56" s="174"/>
      <c r="J56" s="175"/>
      <c r="K56" s="173">
        <v>42215</v>
      </c>
      <c r="L56" s="174">
        <v>41728</v>
      </c>
      <c r="M56" s="174">
        <v>41759</v>
      </c>
      <c r="N56" s="174">
        <v>41850</v>
      </c>
      <c r="O56" s="174">
        <v>41820</v>
      </c>
      <c r="P56" s="175">
        <v>41850</v>
      </c>
      <c r="Q56" s="87"/>
      <c r="R56" s="87"/>
      <c r="S56" s="87"/>
      <c r="T56" s="87"/>
      <c r="U56" s="87"/>
    </row>
    <row r="57" spans="1:21" ht="15.75" thickTop="1" x14ac:dyDescent="0.25">
      <c r="A57" s="96" t="s">
        <v>71</v>
      </c>
      <c r="B57" s="104" t="s">
        <v>72</v>
      </c>
      <c r="C57" s="166" t="s">
        <v>134</v>
      </c>
      <c r="D57" s="167"/>
      <c r="E57" s="150">
        <v>42034</v>
      </c>
      <c r="F57" s="182"/>
      <c r="G57" s="182"/>
      <c r="H57" s="182"/>
      <c r="I57" s="182"/>
      <c r="J57" s="183"/>
      <c r="K57" s="150">
        <v>42213</v>
      </c>
      <c r="L57" s="182"/>
      <c r="M57" s="182"/>
      <c r="N57" s="182"/>
      <c r="O57" s="182"/>
      <c r="P57" s="183"/>
      <c r="Q57" s="87"/>
      <c r="R57" s="87"/>
      <c r="S57" s="87"/>
      <c r="T57" s="87"/>
      <c r="U57" s="87"/>
    </row>
    <row r="58" spans="1:21" x14ac:dyDescent="0.25">
      <c r="A58" s="105" t="s">
        <v>43</v>
      </c>
      <c r="B58" s="104" t="s">
        <v>44</v>
      </c>
      <c r="C58" s="166" t="s">
        <v>134</v>
      </c>
      <c r="D58" s="167"/>
      <c r="E58" s="150">
        <v>42034</v>
      </c>
      <c r="F58" s="182"/>
      <c r="G58" s="182"/>
      <c r="H58" s="182"/>
      <c r="I58" s="182"/>
      <c r="J58" s="183"/>
      <c r="K58" s="153">
        <v>42233</v>
      </c>
      <c r="L58" s="180"/>
      <c r="M58" s="180"/>
      <c r="N58" s="180"/>
      <c r="O58" s="180"/>
      <c r="P58" s="181"/>
      <c r="Q58" s="87"/>
      <c r="R58" s="87"/>
      <c r="S58" s="87"/>
      <c r="T58" s="87"/>
      <c r="U58" s="87"/>
    </row>
    <row r="59" spans="1:21" x14ac:dyDescent="0.25">
      <c r="A59" s="105" t="s">
        <v>58</v>
      </c>
      <c r="B59" s="104" t="s">
        <v>59</v>
      </c>
      <c r="C59" s="166" t="s">
        <v>134</v>
      </c>
      <c r="D59" s="167"/>
      <c r="E59" s="150">
        <v>42040</v>
      </c>
      <c r="F59" s="182"/>
      <c r="G59" s="182"/>
      <c r="H59" s="182"/>
      <c r="I59" s="182"/>
      <c r="J59" s="183"/>
      <c r="K59" s="150">
        <v>42215</v>
      </c>
      <c r="L59" s="182"/>
      <c r="M59" s="182"/>
      <c r="N59" s="182"/>
      <c r="O59" s="182"/>
      <c r="P59" s="183"/>
      <c r="Q59" s="87"/>
      <c r="R59" s="87"/>
      <c r="S59" s="87"/>
      <c r="T59" s="87"/>
      <c r="U59" s="87"/>
    </row>
    <row r="60" spans="1:21" x14ac:dyDescent="0.25">
      <c r="A60" s="96" t="s">
        <v>82</v>
      </c>
      <c r="B60" s="104" t="s">
        <v>90</v>
      </c>
      <c r="C60" s="166" t="s">
        <v>134</v>
      </c>
      <c r="D60" s="167"/>
      <c r="E60" s="150">
        <v>42033</v>
      </c>
      <c r="F60" s="182"/>
      <c r="G60" s="182"/>
      <c r="H60" s="182"/>
      <c r="I60" s="182"/>
      <c r="J60" s="183"/>
      <c r="K60" s="150">
        <v>42212</v>
      </c>
      <c r="L60" s="182"/>
      <c r="M60" s="182"/>
      <c r="N60" s="182"/>
      <c r="O60" s="182"/>
      <c r="P60" s="183"/>
      <c r="Q60" s="87"/>
      <c r="R60" s="87"/>
      <c r="S60" s="87"/>
      <c r="T60" s="87"/>
      <c r="U60" s="87"/>
    </row>
    <row r="61" spans="1:21" ht="15" customHeight="1" x14ac:dyDescent="0.25">
      <c r="A61" s="105" t="s">
        <v>41</v>
      </c>
      <c r="B61" s="104" t="s">
        <v>42</v>
      </c>
      <c r="C61" s="166" t="s">
        <v>134</v>
      </c>
      <c r="D61" s="167"/>
      <c r="E61" s="188">
        <v>42095</v>
      </c>
      <c r="F61" s="189"/>
      <c r="G61" s="189"/>
      <c r="H61" s="189"/>
      <c r="I61" s="189"/>
      <c r="J61" s="190"/>
      <c r="K61" s="153">
        <v>42220</v>
      </c>
      <c r="L61" s="180"/>
      <c r="M61" s="180"/>
      <c r="N61" s="180"/>
      <c r="O61" s="180"/>
      <c r="P61" s="181"/>
      <c r="Q61" s="87"/>
      <c r="R61" s="87"/>
      <c r="S61" s="87"/>
      <c r="T61" s="87"/>
      <c r="U61" s="87"/>
    </row>
    <row r="62" spans="1:21" ht="15" customHeight="1" x14ac:dyDescent="0.25">
      <c r="A62" s="105" t="s">
        <v>84</v>
      </c>
      <c r="B62" s="104" t="s">
        <v>92</v>
      </c>
      <c r="C62" s="166" t="s">
        <v>134</v>
      </c>
      <c r="D62" s="167"/>
      <c r="E62" s="150">
        <v>42034</v>
      </c>
      <c r="F62" s="182"/>
      <c r="G62" s="182"/>
      <c r="H62" s="182"/>
      <c r="I62" s="182"/>
      <c r="J62" s="183"/>
      <c r="K62" s="150">
        <v>42215</v>
      </c>
      <c r="L62" s="182"/>
      <c r="M62" s="182"/>
      <c r="N62" s="182"/>
      <c r="O62" s="182"/>
      <c r="P62" s="183"/>
      <c r="Q62" s="87"/>
      <c r="R62" s="87"/>
      <c r="S62" s="87"/>
      <c r="T62" s="87"/>
      <c r="U62" s="87"/>
    </row>
    <row r="63" spans="1:21" ht="15" customHeight="1" x14ac:dyDescent="0.25">
      <c r="A63" s="105" t="s">
        <v>85</v>
      </c>
      <c r="B63" s="104" t="s">
        <v>93</v>
      </c>
      <c r="C63" s="166" t="s">
        <v>134</v>
      </c>
      <c r="D63" s="167"/>
      <c r="E63" s="184" t="s">
        <v>144</v>
      </c>
      <c r="F63" s="182"/>
      <c r="G63" s="182"/>
      <c r="H63" s="182"/>
      <c r="I63" s="182"/>
      <c r="J63" s="183"/>
      <c r="K63" s="185">
        <v>42235</v>
      </c>
      <c r="L63" s="186"/>
      <c r="M63" s="186"/>
      <c r="N63" s="186"/>
      <c r="O63" s="186"/>
      <c r="P63" s="187"/>
      <c r="Q63" s="87"/>
      <c r="R63" s="87"/>
      <c r="S63" s="87"/>
      <c r="T63" s="87"/>
      <c r="U63" s="87"/>
    </row>
    <row r="64" spans="1:21" ht="15" hidden="1" customHeight="1" x14ac:dyDescent="0.25">
      <c r="Q64" s="87"/>
      <c r="R64" s="87"/>
      <c r="S64" s="87"/>
      <c r="T64" s="87"/>
      <c r="U64" s="87"/>
    </row>
    <row r="65" spans="17:21" x14ac:dyDescent="0.25">
      <c r="Q65" s="87"/>
      <c r="R65" s="87"/>
      <c r="S65" s="87"/>
      <c r="T65" s="87"/>
      <c r="U65" s="87"/>
    </row>
    <row r="66" spans="17:21" x14ac:dyDescent="0.25">
      <c r="Q66" s="87"/>
      <c r="R66" s="87"/>
      <c r="S66" s="87"/>
      <c r="T66" s="87"/>
      <c r="U66" s="87"/>
    </row>
  </sheetData>
  <mergeCells count="247">
    <mergeCell ref="N12:P12"/>
    <mergeCell ref="L12:M12"/>
    <mergeCell ref="N8:P8"/>
    <mergeCell ref="K52:M52"/>
    <mergeCell ref="K53:M53"/>
    <mergeCell ref="N39:P39"/>
    <mergeCell ref="N40:P40"/>
    <mergeCell ref="N41:P41"/>
    <mergeCell ref="N42:P42"/>
    <mergeCell ref="N43:P43"/>
    <mergeCell ref="N49:P49"/>
    <mergeCell ref="N50:P50"/>
    <mergeCell ref="N51:P51"/>
    <mergeCell ref="N52:P52"/>
    <mergeCell ref="N53:P53"/>
    <mergeCell ref="N44:P44"/>
    <mergeCell ref="K45:M45"/>
    <mergeCell ref="K46:M46"/>
    <mergeCell ref="K48:M48"/>
    <mergeCell ref="K49:M49"/>
    <mergeCell ref="K40:M40"/>
    <mergeCell ref="K41:M41"/>
    <mergeCell ref="K42:M42"/>
    <mergeCell ref="K43:M43"/>
    <mergeCell ref="K44:M44"/>
    <mergeCell ref="N19:P19"/>
    <mergeCell ref="N20:P20"/>
    <mergeCell ref="N21:P21"/>
    <mergeCell ref="N22:P22"/>
    <mergeCell ref="N23:P23"/>
    <mergeCell ref="N24:P24"/>
    <mergeCell ref="N25:P25"/>
    <mergeCell ref="N30:P30"/>
    <mergeCell ref="N31:P31"/>
    <mergeCell ref="N26:P26"/>
    <mergeCell ref="N27:P27"/>
    <mergeCell ref="N28:P28"/>
    <mergeCell ref="K35:M35"/>
    <mergeCell ref="K36:M36"/>
    <mergeCell ref="K37:M37"/>
    <mergeCell ref="K38:M38"/>
    <mergeCell ref="K39:M39"/>
    <mergeCell ref="N29:P29"/>
    <mergeCell ref="K29:M29"/>
    <mergeCell ref="K30:M30"/>
    <mergeCell ref="K20:M20"/>
    <mergeCell ref="K21:M21"/>
    <mergeCell ref="K22:M22"/>
    <mergeCell ref="H46:J46"/>
    <mergeCell ref="H47:J47"/>
    <mergeCell ref="H31:J31"/>
    <mergeCell ref="H32:J32"/>
    <mergeCell ref="H33:J33"/>
    <mergeCell ref="H34:J34"/>
    <mergeCell ref="H35:J35"/>
    <mergeCell ref="K47:M47"/>
    <mergeCell ref="N32:P32"/>
    <mergeCell ref="N33:P33"/>
    <mergeCell ref="N34:P34"/>
    <mergeCell ref="N35:P35"/>
    <mergeCell ref="N36:P36"/>
    <mergeCell ref="N37:P37"/>
    <mergeCell ref="N38:P38"/>
    <mergeCell ref="H36:J36"/>
    <mergeCell ref="H37:J37"/>
    <mergeCell ref="H38:J38"/>
    <mergeCell ref="H39:J39"/>
    <mergeCell ref="H40:J4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E22:G22"/>
    <mergeCell ref="E23:G23"/>
    <mergeCell ref="E24:G24"/>
    <mergeCell ref="E25:G25"/>
    <mergeCell ref="E45:G45"/>
    <mergeCell ref="E46:G46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43:G43"/>
    <mergeCell ref="E42:G42"/>
    <mergeCell ref="E40:G40"/>
    <mergeCell ref="E41:G41"/>
    <mergeCell ref="E44:G44"/>
    <mergeCell ref="E29:G29"/>
    <mergeCell ref="E26:G26"/>
    <mergeCell ref="E27:G27"/>
    <mergeCell ref="C39:D39"/>
    <mergeCell ref="C40:D40"/>
    <mergeCell ref="C38:D38"/>
    <mergeCell ref="E52:G52"/>
    <mergeCell ref="E53:G53"/>
    <mergeCell ref="E47:G47"/>
    <mergeCell ref="E48:G48"/>
    <mergeCell ref="E49:G49"/>
    <mergeCell ref="E50:G50"/>
    <mergeCell ref="E51:G51"/>
    <mergeCell ref="C47:D47"/>
    <mergeCell ref="C48:D48"/>
    <mergeCell ref="C45:D45"/>
    <mergeCell ref="C46:D46"/>
    <mergeCell ref="C53:D53"/>
    <mergeCell ref="C51:D51"/>
    <mergeCell ref="C52:D52"/>
    <mergeCell ref="C49:D49"/>
    <mergeCell ref="C50:D50"/>
    <mergeCell ref="C37:D37"/>
    <mergeCell ref="C36:D36"/>
    <mergeCell ref="C35:D35"/>
    <mergeCell ref="K62:P62"/>
    <mergeCell ref="C63:D63"/>
    <mergeCell ref="E63:J63"/>
    <mergeCell ref="K63:P63"/>
    <mergeCell ref="C60:D60"/>
    <mergeCell ref="E60:J60"/>
    <mergeCell ref="K60:P60"/>
    <mergeCell ref="C61:D61"/>
    <mergeCell ref="E61:J61"/>
    <mergeCell ref="K61:P61"/>
    <mergeCell ref="C62:D62"/>
    <mergeCell ref="E62:J62"/>
    <mergeCell ref="K58:P58"/>
    <mergeCell ref="C59:D59"/>
    <mergeCell ref="E59:J59"/>
    <mergeCell ref="K59:P59"/>
    <mergeCell ref="E56:J56"/>
    <mergeCell ref="K56:P56"/>
    <mergeCell ref="C57:D57"/>
    <mergeCell ref="E57:J57"/>
    <mergeCell ref="K57:P57"/>
    <mergeCell ref="C58:D58"/>
    <mergeCell ref="E58:J58"/>
    <mergeCell ref="E55:J55"/>
    <mergeCell ref="K55:P55"/>
    <mergeCell ref="C56:D56"/>
    <mergeCell ref="C43:D43"/>
    <mergeCell ref="C44:D44"/>
    <mergeCell ref="C41:D41"/>
    <mergeCell ref="C42:D42"/>
    <mergeCell ref="H44:J44"/>
    <mergeCell ref="H45:J45"/>
    <mergeCell ref="H51:J51"/>
    <mergeCell ref="H52:J52"/>
    <mergeCell ref="H53:J53"/>
    <mergeCell ref="N45:P45"/>
    <mergeCell ref="N46:P46"/>
    <mergeCell ref="N47:P47"/>
    <mergeCell ref="N48:P48"/>
    <mergeCell ref="H48:J48"/>
    <mergeCell ref="H49:J49"/>
    <mergeCell ref="H50:J50"/>
    <mergeCell ref="H41:J41"/>
    <mergeCell ref="H42:J42"/>
    <mergeCell ref="H43:J43"/>
    <mergeCell ref="K50:M50"/>
    <mergeCell ref="K51:M51"/>
    <mergeCell ref="C22:D22"/>
    <mergeCell ref="C23:D23"/>
    <mergeCell ref="C20:D20"/>
    <mergeCell ref="C10:D10"/>
    <mergeCell ref="C11:D11"/>
    <mergeCell ref="C12:D12"/>
    <mergeCell ref="C30:D30"/>
    <mergeCell ref="C33:D33"/>
    <mergeCell ref="B55:B56"/>
    <mergeCell ref="C55:D55"/>
    <mergeCell ref="C34:D34"/>
    <mergeCell ref="C31:D31"/>
    <mergeCell ref="C32:D32"/>
    <mergeCell ref="C28:D28"/>
    <mergeCell ref="C29:D29"/>
    <mergeCell ref="C26:D26"/>
    <mergeCell ref="C27:D27"/>
    <mergeCell ref="C24:D24"/>
    <mergeCell ref="C25:D25"/>
    <mergeCell ref="K18:M18"/>
    <mergeCell ref="C6:D6"/>
    <mergeCell ref="C7:D7"/>
    <mergeCell ref="H16:J16"/>
    <mergeCell ref="K16:M16"/>
    <mergeCell ref="N16:P16"/>
    <mergeCell ref="C17:D17"/>
    <mergeCell ref="E14:G14"/>
    <mergeCell ref="H14:J14"/>
    <mergeCell ref="K14:M14"/>
    <mergeCell ref="N14:P14"/>
    <mergeCell ref="C15:D15"/>
    <mergeCell ref="E15:G15"/>
    <mergeCell ref="H15:J15"/>
    <mergeCell ref="K15:M15"/>
    <mergeCell ref="N15:P15"/>
    <mergeCell ref="C16:D16"/>
    <mergeCell ref="E16:G16"/>
    <mergeCell ref="C9:D9"/>
    <mergeCell ref="N17:P17"/>
    <mergeCell ref="N18:P18"/>
    <mergeCell ref="C8:D8"/>
    <mergeCell ref="H8:J8"/>
    <mergeCell ref="K8:M8"/>
    <mergeCell ref="K19:M19"/>
    <mergeCell ref="E28:G28"/>
    <mergeCell ref="A1:P1"/>
    <mergeCell ref="B2:B3"/>
    <mergeCell ref="C2:D2"/>
    <mergeCell ref="C3:D3"/>
    <mergeCell ref="C4:D4"/>
    <mergeCell ref="C5:D5"/>
    <mergeCell ref="B14:B15"/>
    <mergeCell ref="C14:D14"/>
    <mergeCell ref="C21:D21"/>
    <mergeCell ref="C18:D18"/>
    <mergeCell ref="C19:D19"/>
    <mergeCell ref="E17:G17"/>
    <mergeCell ref="E18:G18"/>
    <mergeCell ref="E19:G19"/>
    <mergeCell ref="E20:G20"/>
    <mergeCell ref="E21:G21"/>
    <mergeCell ref="H17:J17"/>
    <mergeCell ref="H18:J18"/>
    <mergeCell ref="H19:J19"/>
    <mergeCell ref="H20:J20"/>
    <mergeCell ref="H21:J21"/>
    <mergeCell ref="K17:M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Detail</vt:lpstr>
      <vt:lpstr>Request Dates</vt:lpstr>
      <vt:lpstr>Detail!Print_Area</vt:lpstr>
      <vt:lpstr>Summary!Print_Area</vt:lpstr>
      <vt:lpstr>Detail!Print_Titles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Coby</dc:creator>
  <cp:lastModifiedBy>Katelyn Wissler</cp:lastModifiedBy>
  <cp:lastPrinted>2013-11-13T16:00:10Z</cp:lastPrinted>
  <dcterms:created xsi:type="dcterms:W3CDTF">2013-05-13T18:52:35Z</dcterms:created>
  <dcterms:modified xsi:type="dcterms:W3CDTF">2017-11-07T18:56:45Z</dcterms:modified>
</cp:coreProperties>
</file>