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 activeTab="2"/>
  </bookViews>
  <sheets>
    <sheet name="Summary" sheetId="1" r:id="rId1"/>
    <sheet name="Detail" sheetId="2" r:id="rId2"/>
    <sheet name="Request Dates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" i="3" l="1"/>
  <c r="M267" i="2"/>
  <c r="K267" i="2"/>
  <c r="I267" i="2"/>
  <c r="G267" i="2"/>
  <c r="N266" i="2"/>
  <c r="M266" i="2"/>
  <c r="L266" i="2"/>
  <c r="K266" i="2"/>
  <c r="J266" i="2"/>
  <c r="I266" i="2"/>
  <c r="H266" i="2"/>
  <c r="G266" i="2"/>
  <c r="F266" i="2"/>
  <c r="H265" i="2"/>
  <c r="N261" i="2"/>
  <c r="N267" i="2" s="1"/>
  <c r="M261" i="2"/>
  <c r="L261" i="2"/>
  <c r="L267" i="2" s="1"/>
  <c r="K261" i="2"/>
  <c r="J261" i="2"/>
  <c r="J267" i="2" s="1"/>
  <c r="I261" i="2"/>
  <c r="H261" i="2"/>
  <c r="H267" i="2" s="1"/>
  <c r="G261" i="2"/>
  <c r="F261" i="2"/>
  <c r="F267" i="2" s="1"/>
  <c r="K255" i="2"/>
  <c r="H255" i="2"/>
  <c r="F255" i="2"/>
  <c r="I254" i="2"/>
  <c r="F254" i="2"/>
  <c r="H254" i="2" s="1"/>
  <c r="I253" i="2"/>
  <c r="H253" i="2"/>
  <c r="F253" i="2"/>
  <c r="I252" i="2"/>
  <c r="F252" i="2"/>
  <c r="H252" i="2" s="1"/>
  <c r="I251" i="2"/>
  <c r="H251" i="2"/>
  <c r="F251" i="2"/>
  <c r="I250" i="2"/>
  <c r="F250" i="2"/>
  <c r="H250" i="2" s="1"/>
  <c r="I249" i="2"/>
  <c r="H249" i="2"/>
  <c r="F249" i="2"/>
  <c r="I248" i="2"/>
  <c r="F248" i="2"/>
  <c r="H248" i="2" s="1"/>
  <c r="K247" i="2"/>
  <c r="H247" i="2"/>
  <c r="I246" i="2"/>
  <c r="H246" i="2"/>
  <c r="I245" i="2"/>
  <c r="H245" i="2"/>
  <c r="F245" i="2"/>
  <c r="I244" i="2"/>
  <c r="F244" i="2"/>
  <c r="H244" i="2" s="1"/>
  <c r="K243" i="2"/>
  <c r="H243" i="2"/>
  <c r="F243" i="2"/>
  <c r="I242" i="2"/>
  <c r="F242" i="2"/>
  <c r="H242" i="2" s="1"/>
  <c r="I241" i="2"/>
  <c r="H241" i="2"/>
  <c r="F241" i="2"/>
  <c r="I240" i="2"/>
  <c r="F240" i="2"/>
  <c r="H240" i="2" s="1"/>
  <c r="F239" i="2"/>
  <c r="H239" i="2" s="1"/>
  <c r="F238" i="2"/>
  <c r="H238" i="2" s="1"/>
  <c r="K237" i="2"/>
  <c r="H237" i="2"/>
  <c r="F237" i="2"/>
  <c r="J236" i="2"/>
  <c r="F236" i="2"/>
  <c r="K235" i="2"/>
  <c r="F235" i="2"/>
  <c r="H235" i="2" s="1"/>
  <c r="I234" i="2"/>
  <c r="H234" i="2"/>
  <c r="F234" i="2"/>
  <c r="I233" i="2"/>
  <c r="F233" i="2"/>
  <c r="H233" i="2" s="1"/>
  <c r="K232" i="2"/>
  <c r="H232" i="2"/>
  <c r="F232" i="2"/>
  <c r="I231" i="2"/>
  <c r="F231" i="2"/>
  <c r="H231" i="2" s="1"/>
  <c r="I230" i="2"/>
  <c r="H230" i="2"/>
  <c r="F230" i="2"/>
  <c r="I229" i="2"/>
  <c r="F229" i="2"/>
  <c r="H229" i="2" s="1"/>
  <c r="I228" i="2"/>
  <c r="H228" i="2"/>
  <c r="F228" i="2"/>
  <c r="I227" i="2"/>
  <c r="F227" i="2"/>
  <c r="H227" i="2" s="1"/>
  <c r="F226" i="2"/>
  <c r="H226" i="2" s="1"/>
  <c r="I225" i="2"/>
  <c r="H225" i="2"/>
  <c r="F225" i="2"/>
  <c r="I224" i="2"/>
  <c r="F224" i="2"/>
  <c r="H224" i="2" s="1"/>
  <c r="I223" i="2"/>
  <c r="H223" i="2"/>
  <c r="F223" i="2"/>
  <c r="H222" i="2"/>
  <c r="F222" i="2"/>
  <c r="I221" i="2"/>
  <c r="F221" i="2"/>
  <c r="H221" i="2" s="1"/>
  <c r="I220" i="2"/>
  <c r="H220" i="2"/>
  <c r="F220" i="2"/>
  <c r="I219" i="2"/>
  <c r="F219" i="2"/>
  <c r="H219" i="2" s="1"/>
  <c r="I218" i="2"/>
  <c r="H218" i="2"/>
  <c r="F218" i="2"/>
  <c r="H217" i="2"/>
  <c r="F217" i="2"/>
  <c r="I216" i="2"/>
  <c r="F216" i="2"/>
  <c r="H216" i="2" s="1"/>
  <c r="K215" i="2"/>
  <c r="H215" i="2"/>
  <c r="F215" i="2"/>
  <c r="K214" i="2"/>
  <c r="F214" i="2"/>
  <c r="H214" i="2" s="1"/>
  <c r="I213" i="2"/>
  <c r="H213" i="2"/>
  <c r="F213" i="2"/>
  <c r="I212" i="2"/>
  <c r="F212" i="2"/>
  <c r="H212" i="2" s="1"/>
  <c r="F211" i="2"/>
  <c r="H211" i="2" s="1"/>
  <c r="K210" i="2"/>
  <c r="H210" i="2"/>
  <c r="F210" i="2"/>
  <c r="K209" i="2"/>
  <c r="F209" i="2"/>
  <c r="H209" i="2" s="1"/>
  <c r="I208" i="2"/>
  <c r="K208" i="2" s="1"/>
  <c r="F208" i="2"/>
  <c r="H208" i="2" s="1"/>
  <c r="K207" i="2"/>
  <c r="H207" i="2"/>
  <c r="F207" i="2"/>
  <c r="H206" i="2"/>
  <c r="F206" i="2"/>
  <c r="K205" i="2"/>
  <c r="F205" i="2"/>
  <c r="H205" i="2" s="1"/>
  <c r="I204" i="2"/>
  <c r="H204" i="2"/>
  <c r="F204" i="2"/>
  <c r="H203" i="2"/>
  <c r="F203" i="2"/>
  <c r="I202" i="2"/>
  <c r="F202" i="2"/>
  <c r="H202" i="2" s="1"/>
  <c r="I201" i="2"/>
  <c r="H201" i="2"/>
  <c r="F201" i="2"/>
  <c r="I200" i="2"/>
  <c r="F200" i="2"/>
  <c r="H200" i="2" s="1"/>
  <c r="I199" i="2"/>
  <c r="H199" i="2"/>
  <c r="F199" i="2"/>
  <c r="I198" i="2"/>
  <c r="F198" i="2"/>
  <c r="H198" i="2" s="1"/>
  <c r="K197" i="2"/>
  <c r="H197" i="2"/>
  <c r="F197" i="2"/>
  <c r="H196" i="2"/>
  <c r="F196" i="2"/>
  <c r="H195" i="2"/>
  <c r="F195" i="2"/>
  <c r="H194" i="2"/>
  <c r="I193" i="2"/>
  <c r="H193" i="2"/>
  <c r="F193" i="2"/>
  <c r="K192" i="2"/>
  <c r="F192" i="2"/>
  <c r="H192" i="2" s="1"/>
  <c r="I191" i="2"/>
  <c r="H191" i="2"/>
  <c r="F191" i="2"/>
  <c r="K190" i="2"/>
  <c r="F190" i="2"/>
  <c r="H190" i="2" s="1"/>
  <c r="K189" i="2"/>
  <c r="H189" i="2"/>
  <c r="F189" i="2"/>
  <c r="K188" i="2"/>
  <c r="F188" i="2"/>
  <c r="H188" i="2" s="1"/>
  <c r="K187" i="2"/>
  <c r="H187" i="2"/>
  <c r="F187" i="2"/>
  <c r="I186" i="2"/>
  <c r="F186" i="2"/>
  <c r="H186" i="2" s="1"/>
  <c r="K185" i="2"/>
  <c r="H185" i="2"/>
  <c r="F185" i="2"/>
  <c r="K184" i="2"/>
  <c r="F184" i="2"/>
  <c r="H184" i="2" s="1"/>
  <c r="I183" i="2"/>
  <c r="H183" i="2"/>
  <c r="F183" i="2"/>
  <c r="K182" i="2"/>
  <c r="F182" i="2"/>
  <c r="H182" i="2" s="1"/>
  <c r="K181" i="2"/>
  <c r="H181" i="2"/>
  <c r="F181" i="2"/>
  <c r="K180" i="2"/>
  <c r="F180" i="2"/>
  <c r="H180" i="2" s="1"/>
  <c r="K179" i="2"/>
  <c r="H179" i="2"/>
  <c r="F179" i="2"/>
  <c r="K178" i="2"/>
  <c r="F178" i="2"/>
  <c r="H178" i="2" s="1"/>
  <c r="I177" i="2"/>
  <c r="H177" i="2"/>
  <c r="I176" i="2"/>
  <c r="H176" i="2"/>
  <c r="F176" i="2"/>
  <c r="I175" i="2"/>
  <c r="G175" i="2"/>
  <c r="F175" i="2"/>
  <c r="H175" i="2" s="1"/>
  <c r="K174" i="2"/>
  <c r="H174" i="2"/>
  <c r="K173" i="2"/>
  <c r="H173" i="2"/>
  <c r="K172" i="2"/>
  <c r="H172" i="2"/>
  <c r="I171" i="2"/>
  <c r="H171" i="2"/>
  <c r="I170" i="2"/>
  <c r="H170" i="2"/>
  <c r="I169" i="2"/>
  <c r="H169" i="2"/>
  <c r="I168" i="2"/>
  <c r="H168" i="2"/>
  <c r="K167" i="2"/>
  <c r="I167" i="2"/>
  <c r="H167" i="2"/>
  <c r="I166" i="2"/>
  <c r="H166" i="2"/>
  <c r="I165" i="2"/>
  <c r="H165" i="2"/>
  <c r="I164" i="2"/>
  <c r="H164" i="2"/>
  <c r="I163" i="2"/>
  <c r="H163" i="2"/>
  <c r="I162" i="2"/>
  <c r="H162" i="2"/>
  <c r="I161" i="2"/>
  <c r="H161" i="2"/>
  <c r="I160" i="2"/>
  <c r="H160" i="2"/>
  <c r="K159" i="2"/>
  <c r="H159" i="2"/>
  <c r="I158" i="2"/>
  <c r="H158" i="2"/>
  <c r="F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K145" i="2"/>
  <c r="H145" i="2"/>
  <c r="K144" i="2"/>
  <c r="H144" i="2"/>
  <c r="K143" i="2"/>
  <c r="I143" i="2"/>
  <c r="H143" i="2"/>
  <c r="I142" i="2"/>
  <c r="H142" i="2"/>
  <c r="I141" i="2"/>
  <c r="K141" i="2" s="1"/>
  <c r="H141" i="2"/>
  <c r="K140" i="2"/>
  <c r="I140" i="2"/>
  <c r="H140" i="2"/>
  <c r="I139" i="2"/>
  <c r="K139" i="2" s="1"/>
  <c r="H139" i="2"/>
  <c r="K138" i="2"/>
  <c r="H138" i="2"/>
  <c r="K137" i="2"/>
  <c r="F137" i="2"/>
  <c r="H137" i="2" s="1"/>
  <c r="I136" i="2"/>
  <c r="K136" i="2" s="1"/>
  <c r="H136" i="2"/>
  <c r="K135" i="2"/>
  <c r="H135" i="2"/>
  <c r="K134" i="2"/>
  <c r="I134" i="2"/>
  <c r="H134" i="2"/>
  <c r="I133" i="2"/>
  <c r="H133" i="2"/>
  <c r="K132" i="2"/>
  <c r="H132" i="2"/>
  <c r="K131" i="2"/>
  <c r="H131" i="2"/>
  <c r="K130" i="2"/>
  <c r="I129" i="2"/>
  <c r="H129" i="2"/>
  <c r="K128" i="2"/>
  <c r="I128" i="2"/>
  <c r="H127" i="2"/>
  <c r="I126" i="2"/>
  <c r="K126" i="2" s="1"/>
  <c r="I125" i="2"/>
  <c r="H125" i="2"/>
  <c r="I124" i="2"/>
  <c r="K124" i="2" s="1"/>
  <c r="H124" i="2"/>
  <c r="I123" i="2"/>
  <c r="I121" i="2"/>
  <c r="K121" i="2" s="1"/>
  <c r="K120" i="2"/>
  <c r="H120" i="2"/>
  <c r="I119" i="2"/>
  <c r="H119" i="2"/>
  <c r="K118" i="2"/>
  <c r="K117" i="2"/>
  <c r="H117" i="2"/>
  <c r="I117" i="2" s="1"/>
  <c r="F117" i="2"/>
  <c r="I116" i="2"/>
  <c r="K114" i="2"/>
  <c r="K112" i="2"/>
  <c r="I111" i="2"/>
  <c r="K111" i="2" s="1"/>
  <c r="K110" i="2"/>
  <c r="H110" i="2"/>
  <c r="K109" i="2"/>
  <c r="K107" i="2"/>
  <c r="I107" i="2"/>
  <c r="K105" i="2"/>
  <c r="I105" i="2"/>
  <c r="K104" i="2"/>
  <c r="K103" i="2"/>
  <c r="K101" i="2"/>
  <c r="I100" i="2"/>
  <c r="K100" i="2" s="1"/>
  <c r="K99" i="2"/>
  <c r="K98" i="2"/>
  <c r="I97" i="2"/>
  <c r="K97" i="2" s="1"/>
  <c r="I96" i="2"/>
  <c r="K96" i="2" s="1"/>
  <c r="I95" i="2"/>
  <c r="K95" i="2" s="1"/>
  <c r="K94" i="2"/>
  <c r="K93" i="2"/>
  <c r="K92" i="2"/>
  <c r="K91" i="2"/>
  <c r="I91" i="2"/>
  <c r="K90" i="2"/>
  <c r="I90" i="2"/>
  <c r="K89" i="2"/>
  <c r="I89" i="2"/>
  <c r="K88" i="2"/>
  <c r="I88" i="2"/>
  <c r="K87" i="2"/>
  <c r="I87" i="2"/>
  <c r="K86" i="2"/>
  <c r="I86" i="2"/>
  <c r="K85" i="2"/>
  <c r="I85" i="2"/>
  <c r="K84" i="2"/>
  <c r="I84" i="2"/>
  <c r="K83" i="2"/>
  <c r="I83" i="2"/>
  <c r="I80" i="2"/>
  <c r="K79" i="2"/>
  <c r="K78" i="2"/>
  <c r="I77" i="2"/>
  <c r="K76" i="2"/>
  <c r="I75" i="2"/>
  <c r="K75" i="2" s="1"/>
  <c r="K74" i="2"/>
  <c r="K73" i="2"/>
  <c r="N72" i="2"/>
  <c r="K72" i="2"/>
  <c r="K71" i="2"/>
  <c r="K70" i="2"/>
  <c r="I69" i="2"/>
  <c r="K69" i="2" s="1"/>
  <c r="K67" i="2"/>
  <c r="K66" i="2"/>
  <c r="K65" i="2"/>
  <c r="K64" i="2"/>
  <c r="K63" i="2"/>
  <c r="K61" i="2"/>
  <c r="I61" i="2"/>
  <c r="K60" i="2"/>
  <c r="I58" i="2"/>
  <c r="K58" i="2" s="1"/>
  <c r="I57" i="2"/>
  <c r="K56" i="2"/>
  <c r="K54" i="2"/>
  <c r="K53" i="2"/>
  <c r="K52" i="2"/>
  <c r="K50" i="2"/>
  <c r="I49" i="2"/>
  <c r="N48" i="2"/>
  <c r="I48" i="2"/>
  <c r="K48" i="2" s="1"/>
  <c r="I47" i="2"/>
  <c r="K47" i="2" s="1"/>
  <c r="I46" i="2"/>
  <c r="K46" i="2" s="1"/>
  <c r="I43" i="2"/>
  <c r="K43" i="2" s="1"/>
  <c r="I42" i="2"/>
  <c r="K42" i="2" s="1"/>
  <c r="I41" i="2"/>
  <c r="K41" i="2" s="1"/>
  <c r="I40" i="2"/>
  <c r="K40" i="2" s="1"/>
  <c r="I39" i="2"/>
  <c r="K39" i="2" s="1"/>
  <c r="I38" i="2"/>
  <c r="K38" i="2" s="1"/>
  <c r="I37" i="2"/>
  <c r="K37" i="2" s="1"/>
  <c r="I36" i="2"/>
  <c r="K36" i="2" s="1"/>
  <c r="I35" i="2"/>
  <c r="K35" i="2" s="1"/>
  <c r="I34" i="2"/>
  <c r="K34" i="2" s="1"/>
  <c r="I33" i="2"/>
  <c r="K33" i="2" s="1"/>
  <c r="I32" i="2"/>
  <c r="K32" i="2" s="1"/>
  <c r="I31" i="2"/>
  <c r="K31" i="2" s="1"/>
  <c r="I30" i="2"/>
  <c r="K30" i="2" s="1"/>
  <c r="I29" i="2"/>
  <c r="K29" i="2" s="1"/>
  <c r="I28" i="2"/>
  <c r="K28" i="2" s="1"/>
  <c r="I27" i="2"/>
  <c r="K27" i="2" s="1"/>
  <c r="I26" i="2"/>
  <c r="K26" i="2" s="1"/>
  <c r="I25" i="2"/>
  <c r="K25" i="2" s="1"/>
  <c r="K23" i="2"/>
  <c r="K21" i="2"/>
  <c r="K20" i="2"/>
  <c r="K19" i="2"/>
  <c r="K18" i="2"/>
  <c r="K17" i="2"/>
  <c r="I17" i="2"/>
  <c r="K16" i="2"/>
  <c r="K15" i="2"/>
  <c r="K14" i="2"/>
  <c r="I13" i="2"/>
  <c r="K13" i="2" s="1"/>
  <c r="I11" i="2"/>
  <c r="K11" i="2" s="1"/>
  <c r="K10" i="2"/>
  <c r="K9" i="2"/>
  <c r="I7" i="2"/>
  <c r="K7" i="2" s="1"/>
  <c r="I6" i="2"/>
  <c r="K6" i="2" s="1"/>
  <c r="K5" i="2"/>
  <c r="K4" i="2"/>
  <c r="C59" i="1"/>
  <c r="Q58" i="1"/>
  <c r="P58" i="1"/>
  <c r="O58" i="1"/>
  <c r="N58" i="1"/>
  <c r="J58" i="1"/>
  <c r="G58" i="1" s="1"/>
  <c r="I58" i="1"/>
  <c r="H58" i="1"/>
  <c r="E58" i="1"/>
  <c r="F58" i="1" s="1"/>
  <c r="D58" i="1"/>
  <c r="Q56" i="1"/>
  <c r="P56" i="1"/>
  <c r="O56" i="1"/>
  <c r="N56" i="1"/>
  <c r="R56" i="1" s="1"/>
  <c r="M56" i="1"/>
  <c r="J56" i="1"/>
  <c r="I56" i="1"/>
  <c r="H56" i="1"/>
  <c r="K56" i="1" s="1"/>
  <c r="L56" i="1" s="1"/>
  <c r="E56" i="1"/>
  <c r="F56" i="1" s="1"/>
  <c r="D56" i="1"/>
  <c r="C56" i="1"/>
  <c r="G56" i="1" s="1"/>
  <c r="Q55" i="1"/>
  <c r="P55" i="1"/>
  <c r="O55" i="1"/>
  <c r="N55" i="1"/>
  <c r="M55" i="1"/>
  <c r="I55" i="1"/>
  <c r="R55" i="1" s="1"/>
  <c r="H55" i="1"/>
  <c r="K55" i="1" s="1"/>
  <c r="F55" i="1"/>
  <c r="E55" i="1"/>
  <c r="D55" i="1"/>
  <c r="C55" i="1"/>
  <c r="Q54" i="1"/>
  <c r="P54" i="1"/>
  <c r="O54" i="1"/>
  <c r="N54" i="1"/>
  <c r="M54" i="1"/>
  <c r="J54" i="1"/>
  <c r="I54" i="1"/>
  <c r="H54" i="1"/>
  <c r="K54" i="1" s="1"/>
  <c r="L54" i="1" s="1"/>
  <c r="E54" i="1"/>
  <c r="R54" i="1" s="1"/>
  <c r="D54" i="1"/>
  <c r="C54" i="1"/>
  <c r="Q53" i="1"/>
  <c r="P53" i="1"/>
  <c r="O53" i="1"/>
  <c r="N53" i="1"/>
  <c r="M53" i="1"/>
  <c r="I53" i="1"/>
  <c r="J53" i="1" s="1"/>
  <c r="H53" i="1"/>
  <c r="K53" i="1" s="1"/>
  <c r="F53" i="1"/>
  <c r="E53" i="1"/>
  <c r="R53" i="1" s="1"/>
  <c r="D53" i="1"/>
  <c r="C53" i="1"/>
  <c r="Q52" i="1"/>
  <c r="P52" i="1"/>
  <c r="O52" i="1"/>
  <c r="N52" i="1"/>
  <c r="R52" i="1" s="1"/>
  <c r="M52" i="1"/>
  <c r="J52" i="1"/>
  <c r="I52" i="1"/>
  <c r="H52" i="1"/>
  <c r="K52" i="1" s="1"/>
  <c r="L52" i="1" s="1"/>
  <c r="E52" i="1"/>
  <c r="F52" i="1" s="1"/>
  <c r="D52" i="1"/>
  <c r="C52" i="1"/>
  <c r="G52" i="1" s="1"/>
  <c r="Q51" i="1"/>
  <c r="P51" i="1"/>
  <c r="O51" i="1"/>
  <c r="N51" i="1"/>
  <c r="M51" i="1"/>
  <c r="I51" i="1"/>
  <c r="R51" i="1" s="1"/>
  <c r="H51" i="1"/>
  <c r="K51" i="1" s="1"/>
  <c r="F51" i="1"/>
  <c r="E51" i="1"/>
  <c r="D51" i="1"/>
  <c r="C51" i="1"/>
  <c r="Q50" i="1"/>
  <c r="P50" i="1"/>
  <c r="O50" i="1"/>
  <c r="N50" i="1"/>
  <c r="M50" i="1"/>
  <c r="J50" i="1"/>
  <c r="I50" i="1"/>
  <c r="H50" i="1"/>
  <c r="K50" i="1" s="1"/>
  <c r="L50" i="1" s="1"/>
  <c r="E50" i="1"/>
  <c r="R50" i="1" s="1"/>
  <c r="D50" i="1"/>
  <c r="C50" i="1"/>
  <c r="Q49" i="1"/>
  <c r="P49" i="1"/>
  <c r="O49" i="1"/>
  <c r="N49" i="1"/>
  <c r="M49" i="1"/>
  <c r="I49" i="1"/>
  <c r="J49" i="1" s="1"/>
  <c r="H49" i="1"/>
  <c r="K49" i="1" s="1"/>
  <c r="F49" i="1"/>
  <c r="E49" i="1"/>
  <c r="R49" i="1" s="1"/>
  <c r="D49" i="1"/>
  <c r="C49" i="1"/>
  <c r="Q48" i="1"/>
  <c r="P48" i="1"/>
  <c r="O48" i="1"/>
  <c r="N48" i="1"/>
  <c r="R48" i="1" s="1"/>
  <c r="M48" i="1"/>
  <c r="J48" i="1"/>
  <c r="I48" i="1"/>
  <c r="H48" i="1"/>
  <c r="K48" i="1" s="1"/>
  <c r="L48" i="1" s="1"/>
  <c r="E48" i="1"/>
  <c r="F48" i="1" s="1"/>
  <c r="D48" i="1"/>
  <c r="C48" i="1"/>
  <c r="G48" i="1" s="1"/>
  <c r="Q47" i="1"/>
  <c r="P47" i="1"/>
  <c r="O47" i="1"/>
  <c r="N47" i="1"/>
  <c r="M47" i="1"/>
  <c r="I47" i="1"/>
  <c r="R47" i="1" s="1"/>
  <c r="H47" i="1"/>
  <c r="K47" i="1" s="1"/>
  <c r="F47" i="1"/>
  <c r="E47" i="1"/>
  <c r="D47" i="1"/>
  <c r="Q46" i="1"/>
  <c r="P46" i="1"/>
  <c r="O46" i="1"/>
  <c r="N46" i="1"/>
  <c r="M46" i="1"/>
  <c r="I46" i="1"/>
  <c r="H46" i="1"/>
  <c r="E46" i="1"/>
  <c r="D46" i="1"/>
  <c r="C46" i="1"/>
  <c r="Q45" i="1"/>
  <c r="P45" i="1"/>
  <c r="O45" i="1"/>
  <c r="N45" i="1"/>
  <c r="M45" i="1"/>
  <c r="I45" i="1"/>
  <c r="H45" i="1"/>
  <c r="E45" i="1"/>
  <c r="D45" i="1"/>
  <c r="C45" i="1"/>
  <c r="Q44" i="1"/>
  <c r="P44" i="1"/>
  <c r="O44" i="1"/>
  <c r="N44" i="1"/>
  <c r="M44" i="1"/>
  <c r="I44" i="1"/>
  <c r="H44" i="1"/>
  <c r="E44" i="1"/>
  <c r="D44" i="1"/>
  <c r="R44" i="1" s="1"/>
  <c r="C44" i="1"/>
  <c r="Q43" i="1"/>
  <c r="P43" i="1"/>
  <c r="O43" i="1"/>
  <c r="N43" i="1"/>
  <c r="M43" i="1"/>
  <c r="I43" i="1"/>
  <c r="H43" i="1"/>
  <c r="E43" i="1"/>
  <c r="D43" i="1"/>
  <c r="C43" i="1"/>
  <c r="Q42" i="1"/>
  <c r="P42" i="1"/>
  <c r="O42" i="1"/>
  <c r="N42" i="1"/>
  <c r="M42" i="1"/>
  <c r="I42" i="1"/>
  <c r="H42" i="1"/>
  <c r="E42" i="1"/>
  <c r="D42" i="1"/>
  <c r="C42" i="1"/>
  <c r="Q41" i="1"/>
  <c r="P41" i="1"/>
  <c r="O41" i="1"/>
  <c r="N41" i="1"/>
  <c r="M41" i="1"/>
  <c r="I41" i="1"/>
  <c r="H41" i="1"/>
  <c r="E41" i="1"/>
  <c r="D41" i="1"/>
  <c r="C41" i="1"/>
  <c r="Q40" i="1"/>
  <c r="P40" i="1"/>
  <c r="O40" i="1"/>
  <c r="N40" i="1"/>
  <c r="M40" i="1"/>
  <c r="I40" i="1"/>
  <c r="H40" i="1"/>
  <c r="E40" i="1"/>
  <c r="D40" i="1"/>
  <c r="R40" i="1" s="1"/>
  <c r="C40" i="1"/>
  <c r="Q39" i="1"/>
  <c r="P39" i="1"/>
  <c r="O39" i="1"/>
  <c r="N39" i="1"/>
  <c r="M39" i="1"/>
  <c r="I39" i="1"/>
  <c r="H39" i="1"/>
  <c r="E39" i="1"/>
  <c r="D39" i="1"/>
  <c r="Q38" i="1"/>
  <c r="P38" i="1"/>
  <c r="O38" i="1"/>
  <c r="N38" i="1"/>
  <c r="M38" i="1"/>
  <c r="I38" i="1"/>
  <c r="H38" i="1"/>
  <c r="J38" i="1" s="1"/>
  <c r="E38" i="1"/>
  <c r="D38" i="1"/>
  <c r="C38" i="1"/>
  <c r="F38" i="1" s="1"/>
  <c r="Q37" i="1"/>
  <c r="P37" i="1"/>
  <c r="O37" i="1"/>
  <c r="N37" i="1"/>
  <c r="M37" i="1"/>
  <c r="L37" i="1"/>
  <c r="K37" i="1"/>
  <c r="I37" i="1"/>
  <c r="H37" i="1"/>
  <c r="J37" i="1" s="1"/>
  <c r="G37" i="1"/>
  <c r="E37" i="1"/>
  <c r="D37" i="1"/>
  <c r="R37" i="1" s="1"/>
  <c r="C37" i="1"/>
  <c r="Q36" i="1"/>
  <c r="P36" i="1"/>
  <c r="O36" i="1"/>
  <c r="N36" i="1"/>
  <c r="M36" i="1"/>
  <c r="K36" i="1"/>
  <c r="L36" i="1" s="1"/>
  <c r="I36" i="1"/>
  <c r="H36" i="1"/>
  <c r="J36" i="1" s="1"/>
  <c r="E36" i="1"/>
  <c r="D36" i="1"/>
  <c r="C36" i="1"/>
  <c r="F36" i="1" s="1"/>
  <c r="Q35" i="1"/>
  <c r="P35" i="1"/>
  <c r="O35" i="1"/>
  <c r="N35" i="1"/>
  <c r="M35" i="1"/>
  <c r="I35" i="1"/>
  <c r="H35" i="1"/>
  <c r="J35" i="1" s="1"/>
  <c r="G35" i="1"/>
  <c r="E35" i="1"/>
  <c r="D35" i="1"/>
  <c r="Q34" i="1"/>
  <c r="P34" i="1"/>
  <c r="O34" i="1"/>
  <c r="N34" i="1"/>
  <c r="R34" i="1" s="1"/>
  <c r="M34" i="1"/>
  <c r="K34" i="1"/>
  <c r="L34" i="1" s="1"/>
  <c r="J34" i="1"/>
  <c r="G34" i="1" s="1"/>
  <c r="I34" i="1"/>
  <c r="H34" i="1"/>
  <c r="F34" i="1"/>
  <c r="E34" i="1"/>
  <c r="D34" i="1"/>
  <c r="Q33" i="1"/>
  <c r="P33" i="1"/>
  <c r="O33" i="1"/>
  <c r="N33" i="1"/>
  <c r="M33" i="1"/>
  <c r="I33" i="1"/>
  <c r="J33" i="1" s="1"/>
  <c r="H33" i="1"/>
  <c r="K33" i="1" s="1"/>
  <c r="F33" i="1"/>
  <c r="E33" i="1"/>
  <c r="R33" i="1" s="1"/>
  <c r="D33" i="1"/>
  <c r="C33" i="1"/>
  <c r="Q32" i="1"/>
  <c r="P32" i="1"/>
  <c r="O32" i="1"/>
  <c r="N32" i="1"/>
  <c r="M32" i="1"/>
  <c r="J32" i="1"/>
  <c r="G32" i="1" s="1"/>
  <c r="I32" i="1"/>
  <c r="H32" i="1"/>
  <c r="K32" i="1" s="1"/>
  <c r="L32" i="1" s="1"/>
  <c r="E32" i="1"/>
  <c r="R32" i="1" s="1"/>
  <c r="D32" i="1"/>
  <c r="Q31" i="1"/>
  <c r="P31" i="1"/>
  <c r="O31" i="1"/>
  <c r="N31" i="1"/>
  <c r="M31" i="1"/>
  <c r="I31" i="1"/>
  <c r="H31" i="1"/>
  <c r="E31" i="1"/>
  <c r="D31" i="1"/>
  <c r="Q30" i="1"/>
  <c r="P30" i="1"/>
  <c r="O30" i="1"/>
  <c r="N30" i="1"/>
  <c r="M30" i="1"/>
  <c r="I30" i="1"/>
  <c r="H30" i="1"/>
  <c r="J30" i="1" s="1"/>
  <c r="E30" i="1"/>
  <c r="D30" i="1"/>
  <c r="C30" i="1"/>
  <c r="F30" i="1" s="1"/>
  <c r="Q29" i="1"/>
  <c r="P29" i="1"/>
  <c r="O29" i="1"/>
  <c r="N29" i="1"/>
  <c r="M29" i="1"/>
  <c r="L29" i="1"/>
  <c r="K29" i="1"/>
  <c r="I29" i="1"/>
  <c r="H29" i="1"/>
  <c r="J29" i="1" s="1"/>
  <c r="G29" i="1"/>
  <c r="E29" i="1"/>
  <c r="D29" i="1"/>
  <c r="R29" i="1" s="1"/>
  <c r="C29" i="1"/>
  <c r="Q28" i="1"/>
  <c r="P28" i="1"/>
  <c r="O28" i="1"/>
  <c r="N28" i="1"/>
  <c r="M28" i="1"/>
  <c r="K28" i="1"/>
  <c r="L28" i="1" s="1"/>
  <c r="I28" i="1"/>
  <c r="H28" i="1"/>
  <c r="J28" i="1" s="1"/>
  <c r="E28" i="1"/>
  <c r="D28" i="1"/>
  <c r="C28" i="1"/>
  <c r="F28" i="1" s="1"/>
  <c r="Q27" i="1"/>
  <c r="P27" i="1"/>
  <c r="O27" i="1"/>
  <c r="N27" i="1"/>
  <c r="M27" i="1"/>
  <c r="I27" i="1"/>
  <c r="H27" i="1"/>
  <c r="J27" i="1" s="1"/>
  <c r="G27" i="1"/>
  <c r="E27" i="1"/>
  <c r="D27" i="1"/>
  <c r="C27" i="1"/>
  <c r="Q26" i="1"/>
  <c r="P26" i="1"/>
  <c r="O26" i="1"/>
  <c r="N26" i="1"/>
  <c r="M26" i="1"/>
  <c r="I26" i="1"/>
  <c r="H26" i="1"/>
  <c r="J26" i="1" s="1"/>
  <c r="E26" i="1"/>
  <c r="D26" i="1"/>
  <c r="C26" i="1"/>
  <c r="F26" i="1" s="1"/>
  <c r="Q25" i="1"/>
  <c r="P25" i="1"/>
  <c r="O25" i="1"/>
  <c r="N25" i="1"/>
  <c r="M25" i="1"/>
  <c r="L25" i="1"/>
  <c r="K25" i="1"/>
  <c r="I25" i="1"/>
  <c r="H25" i="1"/>
  <c r="J25" i="1" s="1"/>
  <c r="G25" i="1"/>
  <c r="E25" i="1"/>
  <c r="D25" i="1"/>
  <c r="R25" i="1" s="1"/>
  <c r="C25" i="1"/>
  <c r="Q24" i="1"/>
  <c r="P24" i="1"/>
  <c r="O24" i="1"/>
  <c r="N24" i="1"/>
  <c r="M24" i="1"/>
  <c r="K24" i="1"/>
  <c r="L24" i="1" s="1"/>
  <c r="I24" i="1"/>
  <c r="H24" i="1"/>
  <c r="J24" i="1" s="1"/>
  <c r="E24" i="1"/>
  <c r="D24" i="1"/>
  <c r="C24" i="1"/>
  <c r="F24" i="1" s="1"/>
  <c r="Q23" i="1"/>
  <c r="P23" i="1"/>
  <c r="O23" i="1"/>
  <c r="N23" i="1"/>
  <c r="M23" i="1"/>
  <c r="I23" i="1"/>
  <c r="H23" i="1"/>
  <c r="J23" i="1" s="1"/>
  <c r="G23" i="1"/>
  <c r="E23" i="1"/>
  <c r="D23" i="1"/>
  <c r="C23" i="1"/>
  <c r="Q22" i="1"/>
  <c r="P22" i="1"/>
  <c r="O22" i="1"/>
  <c r="N22" i="1"/>
  <c r="M22" i="1"/>
  <c r="I22" i="1"/>
  <c r="H22" i="1"/>
  <c r="J22" i="1" s="1"/>
  <c r="E22" i="1"/>
  <c r="D22" i="1"/>
  <c r="C22" i="1"/>
  <c r="F22" i="1" s="1"/>
  <c r="Q21" i="1"/>
  <c r="P21" i="1"/>
  <c r="O21" i="1"/>
  <c r="N21" i="1"/>
  <c r="M21" i="1"/>
  <c r="L21" i="1"/>
  <c r="K21" i="1"/>
  <c r="I21" i="1"/>
  <c r="H21" i="1"/>
  <c r="J21" i="1" s="1"/>
  <c r="G21" i="1"/>
  <c r="E21" i="1"/>
  <c r="D21" i="1"/>
  <c r="Q20" i="1"/>
  <c r="P20" i="1"/>
  <c r="O20" i="1"/>
  <c r="N20" i="1"/>
  <c r="R20" i="1" s="1"/>
  <c r="M20" i="1"/>
  <c r="K20" i="1"/>
  <c r="L20" i="1" s="1"/>
  <c r="J20" i="1"/>
  <c r="I20" i="1"/>
  <c r="H20" i="1"/>
  <c r="F20" i="1"/>
  <c r="E20" i="1"/>
  <c r="D20" i="1"/>
  <c r="C20" i="1"/>
  <c r="G20" i="1" s="1"/>
  <c r="Q19" i="1"/>
  <c r="P19" i="1"/>
  <c r="O19" i="1"/>
  <c r="N19" i="1"/>
  <c r="R19" i="1" s="1"/>
  <c r="M19" i="1"/>
  <c r="K19" i="1"/>
  <c r="L19" i="1" s="1"/>
  <c r="J19" i="1"/>
  <c r="I19" i="1"/>
  <c r="H19" i="1"/>
  <c r="E19" i="1"/>
  <c r="D19" i="1"/>
  <c r="C19" i="1"/>
  <c r="G19" i="1" s="1"/>
  <c r="Q18" i="1"/>
  <c r="P18" i="1"/>
  <c r="O18" i="1"/>
  <c r="N18" i="1"/>
  <c r="R18" i="1" s="1"/>
  <c r="M18" i="1"/>
  <c r="K18" i="1"/>
  <c r="L18" i="1" s="1"/>
  <c r="J18" i="1"/>
  <c r="I18" i="1"/>
  <c r="H18" i="1"/>
  <c r="F18" i="1"/>
  <c r="E18" i="1"/>
  <c r="D18" i="1"/>
  <c r="C18" i="1"/>
  <c r="G18" i="1" s="1"/>
  <c r="Q17" i="1"/>
  <c r="P17" i="1"/>
  <c r="O17" i="1"/>
  <c r="N17" i="1"/>
  <c r="R17" i="1" s="1"/>
  <c r="M17" i="1"/>
  <c r="K17" i="1"/>
  <c r="L17" i="1" s="1"/>
  <c r="J17" i="1"/>
  <c r="I17" i="1"/>
  <c r="H17" i="1"/>
  <c r="E17" i="1"/>
  <c r="D17" i="1"/>
  <c r="C17" i="1"/>
  <c r="F17" i="1" s="1"/>
  <c r="Q16" i="1"/>
  <c r="P16" i="1"/>
  <c r="O16" i="1"/>
  <c r="N16" i="1"/>
  <c r="R16" i="1" s="1"/>
  <c r="M16" i="1"/>
  <c r="K16" i="1"/>
  <c r="L16" i="1" s="1"/>
  <c r="J16" i="1"/>
  <c r="I16" i="1"/>
  <c r="H16" i="1"/>
  <c r="F16" i="1"/>
  <c r="E16" i="1"/>
  <c r="D16" i="1"/>
  <c r="C16" i="1"/>
  <c r="G16" i="1" s="1"/>
  <c r="Q15" i="1"/>
  <c r="P15" i="1"/>
  <c r="O15" i="1"/>
  <c r="N15" i="1"/>
  <c r="R15" i="1" s="1"/>
  <c r="M15" i="1"/>
  <c r="K15" i="1"/>
  <c r="L15" i="1" s="1"/>
  <c r="J15" i="1"/>
  <c r="I15" i="1"/>
  <c r="H15" i="1"/>
  <c r="E15" i="1"/>
  <c r="D15" i="1"/>
  <c r="C15" i="1"/>
  <c r="G15" i="1" s="1"/>
  <c r="Q14" i="1"/>
  <c r="P14" i="1"/>
  <c r="O14" i="1"/>
  <c r="N14" i="1"/>
  <c r="R14" i="1" s="1"/>
  <c r="M14" i="1"/>
  <c r="K14" i="1"/>
  <c r="L14" i="1" s="1"/>
  <c r="J14" i="1"/>
  <c r="I14" i="1"/>
  <c r="H14" i="1"/>
  <c r="F14" i="1"/>
  <c r="E14" i="1"/>
  <c r="D14" i="1"/>
  <c r="C14" i="1"/>
  <c r="G14" i="1" s="1"/>
  <c r="Q13" i="1"/>
  <c r="P13" i="1"/>
  <c r="O13" i="1"/>
  <c r="N13" i="1"/>
  <c r="R13" i="1" s="1"/>
  <c r="M13" i="1"/>
  <c r="K13" i="1"/>
  <c r="L13" i="1" s="1"/>
  <c r="J13" i="1"/>
  <c r="I13" i="1"/>
  <c r="H13" i="1"/>
  <c r="E13" i="1"/>
  <c r="D13" i="1"/>
  <c r="C13" i="1"/>
  <c r="F13" i="1" s="1"/>
  <c r="Q12" i="1"/>
  <c r="P12" i="1"/>
  <c r="O12" i="1"/>
  <c r="N12" i="1"/>
  <c r="R12" i="1" s="1"/>
  <c r="M12" i="1"/>
  <c r="K12" i="1"/>
  <c r="L12" i="1" s="1"/>
  <c r="J12" i="1"/>
  <c r="I12" i="1"/>
  <c r="H12" i="1"/>
  <c r="F12" i="1"/>
  <c r="E12" i="1"/>
  <c r="D12" i="1"/>
  <c r="C12" i="1"/>
  <c r="G12" i="1" s="1"/>
  <c r="Q11" i="1"/>
  <c r="P11" i="1"/>
  <c r="O11" i="1"/>
  <c r="N11" i="1"/>
  <c r="R11" i="1" s="1"/>
  <c r="M11" i="1"/>
  <c r="K11" i="1"/>
  <c r="L11" i="1" s="1"/>
  <c r="J11" i="1"/>
  <c r="I11" i="1"/>
  <c r="H11" i="1"/>
  <c r="E11" i="1"/>
  <c r="D11" i="1"/>
  <c r="C11" i="1"/>
  <c r="G11" i="1" s="1"/>
  <c r="Q10" i="1"/>
  <c r="P10" i="1"/>
  <c r="O10" i="1"/>
  <c r="M10" i="1"/>
  <c r="K10" i="1"/>
  <c r="L10" i="1" s="1"/>
  <c r="I10" i="1"/>
  <c r="J10" i="1" s="1"/>
  <c r="G10" i="1" s="1"/>
  <c r="H10" i="1"/>
  <c r="E10" i="1"/>
  <c r="F10" i="1" s="1"/>
  <c r="D10" i="1"/>
  <c r="Q9" i="1"/>
  <c r="P9" i="1"/>
  <c r="O9" i="1"/>
  <c r="N9" i="1"/>
  <c r="M9" i="1"/>
  <c r="I9" i="1"/>
  <c r="L9" i="1" s="1"/>
  <c r="H9" i="1"/>
  <c r="K9" i="1" s="1"/>
  <c r="E9" i="1"/>
  <c r="D9" i="1"/>
  <c r="F9" i="1" s="1"/>
  <c r="C9" i="1"/>
  <c r="Q8" i="1"/>
  <c r="P8" i="1"/>
  <c r="O8" i="1"/>
  <c r="N8" i="1"/>
  <c r="M8" i="1"/>
  <c r="L8" i="1"/>
  <c r="I8" i="1"/>
  <c r="H8" i="1"/>
  <c r="K8" i="1" s="1"/>
  <c r="F8" i="1"/>
  <c r="E8" i="1"/>
  <c r="D8" i="1"/>
  <c r="R8" i="1" s="1"/>
  <c r="C8" i="1"/>
  <c r="Q7" i="1"/>
  <c r="P7" i="1"/>
  <c r="O7" i="1"/>
  <c r="M7" i="1"/>
  <c r="I7" i="1"/>
  <c r="H7" i="1"/>
  <c r="J7" i="1" s="1"/>
  <c r="E7" i="1"/>
  <c r="D7" i="1"/>
  <c r="F7" i="1" s="1"/>
  <c r="C7" i="1"/>
  <c r="G7" i="1" s="1"/>
  <c r="Q6" i="1"/>
  <c r="P6" i="1"/>
  <c r="O6" i="1"/>
  <c r="N6" i="1"/>
  <c r="M6" i="1"/>
  <c r="I6" i="1"/>
  <c r="H6" i="1"/>
  <c r="K6" i="1" s="1"/>
  <c r="L6" i="1" s="1"/>
  <c r="E6" i="1"/>
  <c r="D6" i="1"/>
  <c r="R6" i="1" s="1"/>
  <c r="C6" i="1"/>
  <c r="Q5" i="1"/>
  <c r="P5" i="1"/>
  <c r="O5" i="1"/>
  <c r="N5" i="1"/>
  <c r="M5" i="1"/>
  <c r="I5" i="1"/>
  <c r="H5" i="1"/>
  <c r="K5" i="1" s="1"/>
  <c r="L5" i="1" s="1"/>
  <c r="E5" i="1"/>
  <c r="D5" i="1"/>
  <c r="R5" i="1" s="1"/>
  <c r="C5" i="1"/>
  <c r="Q4" i="1"/>
  <c r="P4" i="1"/>
  <c r="P57" i="1" s="1"/>
  <c r="P60" i="1" s="1"/>
  <c r="O4" i="1"/>
  <c r="O57" i="1" s="1"/>
  <c r="O60" i="1" s="1"/>
  <c r="N4" i="1"/>
  <c r="M4" i="1"/>
  <c r="I4" i="1"/>
  <c r="I57" i="1" s="1"/>
  <c r="I60" i="1" s="1"/>
  <c r="H4" i="1"/>
  <c r="H57" i="1" s="1"/>
  <c r="H60" i="1" s="1"/>
  <c r="J60" i="1" s="1"/>
  <c r="E4" i="1"/>
  <c r="E57" i="1" s="1"/>
  <c r="E60" i="1" s="1"/>
  <c r="D4" i="1"/>
  <c r="D57" i="1" s="1"/>
  <c r="D60" i="1" s="1"/>
  <c r="C4" i="1"/>
  <c r="A1" i="1"/>
  <c r="R7" i="1" l="1"/>
  <c r="R9" i="1"/>
  <c r="G13" i="1"/>
  <c r="G17" i="1"/>
  <c r="R21" i="1"/>
  <c r="F21" i="1"/>
  <c r="K42" i="1"/>
  <c r="L42" i="1" s="1"/>
  <c r="J42" i="1"/>
  <c r="K46" i="1"/>
  <c r="L46" i="1" s="1"/>
  <c r="J46" i="1"/>
  <c r="J57" i="1"/>
  <c r="M57" i="1"/>
  <c r="M60" i="1" s="1"/>
  <c r="Q57" i="1"/>
  <c r="Q60" i="1" s="1"/>
  <c r="J9" i="1"/>
  <c r="R10" i="1"/>
  <c r="F11" i="1"/>
  <c r="F15" i="1"/>
  <c r="F19" i="1"/>
  <c r="R22" i="1"/>
  <c r="F23" i="1"/>
  <c r="G24" i="1"/>
  <c r="R26" i="1"/>
  <c r="F27" i="1"/>
  <c r="G28" i="1"/>
  <c r="R30" i="1"/>
  <c r="R31" i="1"/>
  <c r="F31" i="1"/>
  <c r="F32" i="1"/>
  <c r="G36" i="1"/>
  <c r="R38" i="1"/>
  <c r="R39" i="1"/>
  <c r="F39" i="1"/>
  <c r="K41" i="1"/>
  <c r="L41" i="1" s="1"/>
  <c r="J41" i="1"/>
  <c r="G42" i="1"/>
  <c r="R43" i="1"/>
  <c r="K45" i="1"/>
  <c r="L45" i="1" s="1"/>
  <c r="J45" i="1"/>
  <c r="G46" i="1"/>
  <c r="J47" i="1"/>
  <c r="G47" i="1" s="1"/>
  <c r="G49" i="1"/>
  <c r="L49" i="1"/>
  <c r="F50" i="1"/>
  <c r="J51" i="1"/>
  <c r="G51" i="1" s="1"/>
  <c r="G53" i="1"/>
  <c r="L53" i="1"/>
  <c r="F54" i="1"/>
  <c r="J55" i="1"/>
  <c r="G55" i="1" s="1"/>
  <c r="F4" i="1"/>
  <c r="J4" i="1"/>
  <c r="G4" i="1" s="1"/>
  <c r="N57" i="1"/>
  <c r="N60" i="1" s="1"/>
  <c r="R4" i="1"/>
  <c r="F5" i="1"/>
  <c r="J5" i="1"/>
  <c r="G5" i="1" s="1"/>
  <c r="F6" i="1"/>
  <c r="J6" i="1"/>
  <c r="G6" i="1" s="1"/>
  <c r="K7" i="1"/>
  <c r="L7" i="1" s="1"/>
  <c r="K22" i="1"/>
  <c r="L22" i="1" s="1"/>
  <c r="R23" i="1"/>
  <c r="K26" i="1"/>
  <c r="L26" i="1" s="1"/>
  <c r="R27" i="1"/>
  <c r="K30" i="1"/>
  <c r="L30" i="1" s="1"/>
  <c r="R35" i="1"/>
  <c r="F35" i="1"/>
  <c r="K38" i="1"/>
  <c r="L38" i="1" s="1"/>
  <c r="K40" i="1"/>
  <c r="L40" i="1" s="1"/>
  <c r="J40" i="1"/>
  <c r="G41" i="1"/>
  <c r="R42" i="1"/>
  <c r="K44" i="1"/>
  <c r="L44" i="1" s="1"/>
  <c r="J44" i="1"/>
  <c r="G45" i="1"/>
  <c r="R46" i="1"/>
  <c r="G50" i="1"/>
  <c r="G54" i="1"/>
  <c r="C57" i="1"/>
  <c r="K4" i="1"/>
  <c r="L4" i="1" s="1"/>
  <c r="J8" i="1"/>
  <c r="G8" i="1" s="1"/>
  <c r="G9" i="1"/>
  <c r="G22" i="1"/>
  <c r="K23" i="1"/>
  <c r="L23" i="1" s="1"/>
  <c r="R24" i="1"/>
  <c r="F25" i="1"/>
  <c r="G26" i="1"/>
  <c r="K27" i="1"/>
  <c r="L27" i="1" s="1"/>
  <c r="R28" i="1"/>
  <c r="F29" i="1"/>
  <c r="G30" i="1"/>
  <c r="K31" i="1"/>
  <c r="L31" i="1" s="1"/>
  <c r="J31" i="1"/>
  <c r="G31" i="1" s="1"/>
  <c r="G33" i="1"/>
  <c r="L33" i="1"/>
  <c r="K35" i="1"/>
  <c r="L35" i="1" s="1"/>
  <c r="R36" i="1"/>
  <c r="F37" i="1"/>
  <c r="G38" i="1"/>
  <c r="K39" i="1"/>
  <c r="L39" i="1" s="1"/>
  <c r="J39" i="1"/>
  <c r="G39" i="1" s="1"/>
  <c r="G40" i="1"/>
  <c r="R41" i="1"/>
  <c r="K43" i="1"/>
  <c r="L43" i="1" s="1"/>
  <c r="J43" i="1"/>
  <c r="G43" i="1" s="1"/>
  <c r="G44" i="1"/>
  <c r="R45" i="1"/>
  <c r="L47" i="1"/>
  <c r="L51" i="1"/>
  <c r="L55" i="1"/>
  <c r="F40" i="1"/>
  <c r="F41" i="1"/>
  <c r="F42" i="1"/>
  <c r="F43" i="1"/>
  <c r="F44" i="1"/>
  <c r="F45" i="1"/>
  <c r="F46" i="1"/>
  <c r="C60" i="1" l="1"/>
  <c r="G57" i="1"/>
  <c r="F57" i="1"/>
  <c r="G60" i="1" l="1"/>
  <c r="F60" i="1"/>
</calcChain>
</file>

<file path=xl/sharedStrings.xml><?xml version="1.0" encoding="utf-8"?>
<sst xmlns="http://schemas.openxmlformats.org/spreadsheetml/2006/main" count="1130" uniqueCount="162">
  <si>
    <t>Program Name</t>
  </si>
  <si>
    <t>State</t>
  </si>
  <si>
    <t>Budget</t>
  </si>
  <si>
    <t>Requested</t>
  </si>
  <si>
    <t>Percent of Budget Requested</t>
  </si>
  <si>
    <t>Amount of Budget Remaining</t>
  </si>
  <si>
    <t>Paid</t>
  </si>
  <si>
    <t>15% Administrative</t>
  </si>
  <si>
    <t>Pending RL</t>
  </si>
  <si>
    <t>Pending Program</t>
  </si>
  <si>
    <t>Pending FCC</t>
  </si>
  <si>
    <t>Rejected</t>
  </si>
  <si>
    <t>Program Costs</t>
  </si>
  <si>
    <t>Administrative Costs</t>
  </si>
  <si>
    <t>Admin</t>
  </si>
  <si>
    <t>Total Paid</t>
  </si>
  <si>
    <t>15% of program costs</t>
  </si>
  <si>
    <t>15% - Paid Admin</t>
  </si>
  <si>
    <t>Under Review</t>
  </si>
  <si>
    <t>Admin Not Covered By Program Costs</t>
  </si>
  <si>
    <t>Issues To Be Corrected</t>
  </si>
  <si>
    <t>Assistive Technology of Alaska</t>
  </si>
  <si>
    <t>AK</t>
  </si>
  <si>
    <t>Alabama Institute for the Deaf and Blind</t>
  </si>
  <si>
    <t>AL</t>
  </si>
  <si>
    <t>Perkins School for the Blind</t>
  </si>
  <si>
    <t>AR</t>
  </si>
  <si>
    <t>AZ</t>
  </si>
  <si>
    <t>Lighthouse for the Blind and Visually Impaired</t>
  </si>
  <si>
    <t>CA</t>
  </si>
  <si>
    <t>Colorado Commission for the Deaf and Hard of Hearing</t>
  </si>
  <si>
    <t>CO</t>
  </si>
  <si>
    <t>Connecticut Tech Act Project</t>
  </si>
  <si>
    <t>CT</t>
  </si>
  <si>
    <t>Columbia Lighthouse for the Blind</t>
  </si>
  <si>
    <t>DC</t>
  </si>
  <si>
    <t>University of Delaware - Center for Disabilities Studies</t>
  </si>
  <si>
    <t>DE</t>
  </si>
  <si>
    <t>Florida Telecommunications Relay, Inc.</t>
  </si>
  <si>
    <t>FL</t>
  </si>
  <si>
    <t>Georgia Council for the Hearing Impaired</t>
  </si>
  <si>
    <t>GA</t>
  </si>
  <si>
    <t>Helen Keller National Center for Deaf-Blind Youths and Adults</t>
  </si>
  <si>
    <t>HI</t>
  </si>
  <si>
    <t>IA</t>
  </si>
  <si>
    <t>University of Idaho - Idaho Assistive Technology Project</t>
  </si>
  <si>
    <t>ID</t>
  </si>
  <si>
    <t>The Chicago Lighthouse for People Who Are Blind or Visually Impaired</t>
  </si>
  <si>
    <t>IL</t>
  </si>
  <si>
    <t>IN</t>
  </si>
  <si>
    <t>Assistive Technology for Kansas test</t>
  </si>
  <si>
    <t>KS</t>
  </si>
  <si>
    <t>Eastern Kentucky University Center on Deafness and Hearing Loss</t>
  </si>
  <si>
    <t>KY</t>
  </si>
  <si>
    <t>Affiliated Blind of Louisiana Training Center</t>
  </si>
  <si>
    <t>LA</t>
  </si>
  <si>
    <t>MA</t>
  </si>
  <si>
    <t>MD</t>
  </si>
  <si>
    <t>Disability Rights Maine</t>
  </si>
  <si>
    <t>ME</t>
  </si>
  <si>
    <t>MI</t>
  </si>
  <si>
    <t>MN</t>
  </si>
  <si>
    <t>Missouri Assistive Technology</t>
  </si>
  <si>
    <t>MO</t>
  </si>
  <si>
    <t>MS</t>
  </si>
  <si>
    <t>MT</t>
  </si>
  <si>
    <t>North Carolina Division of Services for the Deaf and the Hard of Hearing</t>
  </si>
  <si>
    <t>NC</t>
  </si>
  <si>
    <t>Interagency Program for Assistive Technology</t>
  </si>
  <si>
    <t>ND</t>
  </si>
  <si>
    <t>Nebraska Assistive Technology Partnership</t>
  </si>
  <si>
    <t>NE</t>
  </si>
  <si>
    <t>Northeast Deaf and Hard of Hearing Services, Inc.</t>
  </si>
  <si>
    <t>NH</t>
  </si>
  <si>
    <t>New Jersey Commission for the Blind and Visually Impaired</t>
  </si>
  <si>
    <t>NJ</t>
  </si>
  <si>
    <t>NM</t>
  </si>
  <si>
    <t>NV</t>
  </si>
  <si>
    <t>NY</t>
  </si>
  <si>
    <t>Ohio Deaf-Blind Outreach Program</t>
  </si>
  <si>
    <t>OH</t>
  </si>
  <si>
    <t>Oklahoma Department of Rehabilitation Services</t>
  </si>
  <si>
    <t>OK</t>
  </si>
  <si>
    <t>Access Technologies, Inc.</t>
  </si>
  <si>
    <t>OR</t>
  </si>
  <si>
    <t>Institute on Disabilities - Temple University</t>
  </si>
  <si>
    <t>PA</t>
  </si>
  <si>
    <t>PR</t>
  </si>
  <si>
    <t>RI</t>
  </si>
  <si>
    <t>SC</t>
  </si>
  <si>
    <t>South Dakota Department of Human Services</t>
  </si>
  <si>
    <t>SD</t>
  </si>
  <si>
    <t>Tennessee Regulatory Authority</t>
  </si>
  <si>
    <t>TN</t>
  </si>
  <si>
    <t>TX</t>
  </si>
  <si>
    <t>UT</t>
  </si>
  <si>
    <t>Virginia Department for the Deaf and Hard of Hearing</t>
  </si>
  <si>
    <t>VA</t>
  </si>
  <si>
    <t>VI</t>
  </si>
  <si>
    <t>VT</t>
  </si>
  <si>
    <t>Department of Social and Health Services - Office of the Deaf and Hard of Hearing</t>
  </si>
  <si>
    <t>WA</t>
  </si>
  <si>
    <t>Public Service Commission of Wisconsin</t>
  </si>
  <si>
    <t>WI</t>
  </si>
  <si>
    <t>WV</t>
  </si>
  <si>
    <t>Wyoming Institute for Disabilities - University of Wyoming</t>
  </si>
  <si>
    <t>WY</t>
  </si>
  <si>
    <t>State Totals</t>
  </si>
  <si>
    <t>NO</t>
  </si>
  <si>
    <t>Reallocations</t>
  </si>
  <si>
    <t>FCC</t>
  </si>
  <si>
    <t>Total</t>
  </si>
  <si>
    <t>Requests Received As Of 02/28/2017</t>
  </si>
  <si>
    <t>Pending RL Review</t>
  </si>
  <si>
    <t>Internal Request Number</t>
  </si>
  <si>
    <t>Expense Period</t>
  </si>
  <si>
    <t>Date Received</t>
  </si>
  <si>
    <t>Issues Need Correcting</t>
  </si>
  <si>
    <t>July</t>
  </si>
  <si>
    <t>August</t>
  </si>
  <si>
    <t>July-Sept</t>
  </si>
  <si>
    <t>September</t>
  </si>
  <si>
    <t>October</t>
  </si>
  <si>
    <t>November</t>
  </si>
  <si>
    <t>Oct-Dec</t>
  </si>
  <si>
    <t>December</t>
  </si>
  <si>
    <t>July-Dec</t>
  </si>
  <si>
    <t>Assistive Technology for Kansas</t>
  </si>
  <si>
    <t>January</t>
  </si>
  <si>
    <t>Jul-Dec</t>
  </si>
  <si>
    <t>February</t>
  </si>
  <si>
    <t>March</t>
  </si>
  <si>
    <t>Jan-Mar</t>
  </si>
  <si>
    <t>Assitive Technology of Alaska</t>
  </si>
  <si>
    <t>April</t>
  </si>
  <si>
    <t>Institute on Disabilities</t>
  </si>
  <si>
    <t>May</t>
  </si>
  <si>
    <t>Virginia Department for the Blind and Vision Impaired</t>
  </si>
  <si>
    <t>June</t>
  </si>
  <si>
    <t>April-June</t>
  </si>
  <si>
    <t>Jan-June</t>
  </si>
  <si>
    <t>Apr-Jun</t>
  </si>
  <si>
    <t>Encumbrance</t>
  </si>
  <si>
    <t>Jan-Jun</t>
  </si>
  <si>
    <t>State Request Totals</t>
  </si>
  <si>
    <t>National Outreach Totals</t>
  </si>
  <si>
    <t>Fund Totals</t>
  </si>
  <si>
    <t>Monthly Filing Frequency</t>
  </si>
  <si>
    <t>Request Period</t>
  </si>
  <si>
    <t>Due Date</t>
  </si>
  <si>
    <t>Received Date</t>
  </si>
  <si>
    <t>No Request</t>
  </si>
  <si>
    <t>Quarterly Filing Frequency</t>
  </si>
  <si>
    <t>July-September</t>
  </si>
  <si>
    <t>October-December</t>
  </si>
  <si>
    <t>January-March</t>
  </si>
  <si>
    <t>7/292016</t>
  </si>
  <si>
    <t>DC*</t>
  </si>
  <si>
    <r>
      <t>10</t>
    </r>
    <r>
      <rPr>
        <sz val="11"/>
        <rFont val="Calibri"/>
        <family val="2"/>
        <scheme val="minor"/>
      </rPr>
      <t>10/19/2016</t>
    </r>
  </si>
  <si>
    <t>Semi-Annual Filing Frequency</t>
  </si>
  <si>
    <t>July-December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</si>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</sst>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thick">
        <color rgb="FF000099"/>
      </left>
      <right/>
      <top style="thick">
        <color rgb="FF000099"/>
      </top>
      <bottom style="thin">
        <color indexed="64"/>
      </bottom>
      <diagonal/>
    </border>
    <border>
      <left/>
      <right/>
      <top style="thick">
        <color rgb="FF000099"/>
      </top>
      <bottom style="thin">
        <color indexed="64"/>
      </bottom>
      <diagonal/>
    </border>
    <border>
      <left/>
      <right/>
      <top style="thick">
        <color rgb="FF000099"/>
      </top>
      <bottom/>
      <diagonal/>
    </border>
    <border>
      <left/>
      <right style="thick">
        <color rgb="FF000099"/>
      </right>
      <top style="thick">
        <color rgb="FF000099"/>
      </top>
      <bottom style="thin">
        <color indexed="64"/>
      </bottom>
      <diagonal/>
    </border>
    <border>
      <left style="thick">
        <color rgb="FF000099"/>
      </left>
      <right style="thin">
        <color rgb="FF000099"/>
      </right>
      <top style="thin">
        <color indexed="64"/>
      </top>
      <bottom/>
      <diagonal/>
    </border>
    <border>
      <left style="thin">
        <color rgb="FF000099"/>
      </left>
      <right style="thin">
        <color rgb="FF000099"/>
      </right>
      <top style="thin">
        <color indexed="64"/>
      </top>
      <bottom/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thin">
        <color rgb="FF000099"/>
      </bottom>
      <diagonal/>
    </border>
    <border>
      <left style="thin">
        <color rgb="FF000099"/>
      </left>
      <right/>
      <top style="thin">
        <color indexed="64"/>
      </top>
      <bottom style="thin">
        <color rgb="FF000099"/>
      </bottom>
      <diagonal/>
    </border>
    <border>
      <left/>
      <right/>
      <top style="thin">
        <color indexed="64"/>
      </top>
      <bottom style="thin">
        <color rgb="FF000099"/>
      </bottom>
      <diagonal/>
    </border>
    <border>
      <left/>
      <right style="thin">
        <color rgb="FF000099"/>
      </right>
      <top style="thin">
        <color indexed="64"/>
      </top>
      <bottom style="thin">
        <color rgb="FF0000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thin">
        <color indexed="64"/>
      </bottom>
      <diagonal/>
    </border>
    <border>
      <left style="thin">
        <color rgb="FF000099"/>
      </left>
      <right style="thick">
        <color rgb="FF000099"/>
      </right>
      <top style="thin">
        <color indexed="64"/>
      </top>
      <bottom/>
      <diagonal/>
    </border>
    <border>
      <left style="thick">
        <color rgb="FF000099"/>
      </left>
      <right style="thin">
        <color rgb="FF000099"/>
      </right>
      <top/>
      <bottom style="double">
        <color rgb="FF000099"/>
      </bottom>
      <diagonal/>
    </border>
    <border>
      <left style="thin">
        <color rgb="FF000099"/>
      </left>
      <right style="thin">
        <color rgb="FF000099"/>
      </right>
      <top/>
      <bottom style="double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double">
        <color rgb="FF000099"/>
      </bottom>
      <diagonal/>
    </border>
    <border>
      <left style="thin">
        <color rgb="FF000099"/>
      </left>
      <right style="thick">
        <color rgb="FF000099"/>
      </right>
      <top/>
      <bottom style="double">
        <color rgb="FF000099"/>
      </bottom>
      <diagonal/>
    </border>
    <border>
      <left style="thick">
        <color rgb="FF00009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0099"/>
      </right>
      <top/>
      <bottom style="thin">
        <color indexed="64"/>
      </bottom>
      <diagonal/>
    </border>
    <border>
      <left style="thick">
        <color rgb="FF0000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99"/>
      </left>
      <right style="thin">
        <color indexed="64"/>
      </right>
      <top style="thin">
        <color indexed="64"/>
      </top>
      <bottom style="double">
        <color rgb="FF0000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99"/>
      </bottom>
      <diagonal/>
    </border>
    <border>
      <left style="thick">
        <color rgb="FF000099"/>
      </left>
      <right/>
      <top style="double">
        <color rgb="FF000099"/>
      </top>
      <bottom style="medium">
        <color rgb="FF000099"/>
      </bottom>
      <diagonal/>
    </border>
    <border>
      <left/>
      <right/>
      <top style="double">
        <color rgb="FF000099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double">
        <color rgb="FF000099"/>
      </top>
      <bottom style="medium">
        <color rgb="FF000099"/>
      </bottom>
      <diagonal/>
    </border>
    <border>
      <left style="thin">
        <color indexed="64"/>
      </left>
      <right style="thick">
        <color rgb="FF000099"/>
      </right>
      <top style="double">
        <color rgb="FF000099"/>
      </top>
      <bottom style="medium">
        <color rgb="FF000099"/>
      </bottom>
      <diagonal/>
    </border>
    <border>
      <left style="thick">
        <color rgb="FF000099"/>
      </left>
      <right/>
      <top/>
      <bottom style="thick">
        <color rgb="FF000099"/>
      </bottom>
      <diagonal/>
    </border>
    <border>
      <left/>
      <right/>
      <top/>
      <bottom style="thick">
        <color rgb="FF000099"/>
      </bottom>
      <diagonal/>
    </border>
    <border>
      <left style="thin">
        <color indexed="64"/>
      </left>
      <right style="thin">
        <color indexed="64"/>
      </right>
      <top/>
      <bottom style="thick">
        <color rgb="FF000099"/>
      </bottom>
      <diagonal/>
    </border>
    <border>
      <left style="thin">
        <color indexed="64"/>
      </left>
      <right style="thick">
        <color rgb="FF000099"/>
      </right>
      <top/>
      <bottom style="thick">
        <color rgb="FF00009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99"/>
      </left>
      <right style="thin">
        <color indexed="64"/>
      </right>
      <top style="thick">
        <color rgb="FF000099"/>
      </top>
      <bottom/>
      <diagonal/>
    </border>
    <border>
      <left style="thin">
        <color indexed="64"/>
      </left>
      <right style="thin">
        <color indexed="64"/>
      </right>
      <top style="thick">
        <color rgb="FF000099"/>
      </top>
      <bottom/>
      <diagonal/>
    </border>
    <border>
      <left style="thin">
        <color indexed="64"/>
      </left>
      <right style="thick">
        <color rgb="FF000099"/>
      </right>
      <top style="thick">
        <color rgb="FF000099"/>
      </top>
      <bottom/>
      <diagonal/>
    </border>
    <border>
      <left style="thick">
        <color rgb="FF000099"/>
      </left>
      <right style="thin">
        <color rgb="FF000099"/>
      </right>
      <top style="thin">
        <color rgb="FF000099"/>
      </top>
      <bottom/>
      <diagonal/>
    </border>
    <border>
      <left style="thin">
        <color rgb="FF000099"/>
      </left>
      <right style="thin">
        <color rgb="FF000099"/>
      </right>
      <top style="thin">
        <color rgb="FF000099"/>
      </top>
      <bottom/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rgb="FF000099"/>
      </left>
      <right/>
      <top style="thin">
        <color rgb="FF000099"/>
      </top>
      <bottom style="thin">
        <color rgb="FF000099"/>
      </bottom>
      <diagonal/>
    </border>
    <border>
      <left style="thin">
        <color rgb="FF000099"/>
      </left>
      <right style="thick">
        <color rgb="FF000099"/>
      </right>
      <top style="thin">
        <color rgb="FF00009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9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99"/>
      </right>
      <top style="thin">
        <color indexed="64"/>
      </top>
      <bottom style="thin">
        <color indexed="64"/>
      </bottom>
      <diagonal/>
    </border>
    <border>
      <left style="thick">
        <color rgb="FF000099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0099"/>
      </right>
      <top style="double">
        <color indexed="64"/>
      </top>
      <bottom style="medium">
        <color indexed="64"/>
      </bottom>
      <diagonal/>
    </border>
    <border>
      <left style="thick">
        <color rgb="FF000099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rgb="FF000099"/>
      </right>
      <top style="thin">
        <color indexed="64"/>
      </top>
      <bottom style="double">
        <color indexed="64"/>
      </bottom>
      <diagonal/>
    </border>
    <border>
      <left style="thin">
        <color rgb="FF000099"/>
      </left>
      <right/>
      <top style="thick">
        <color rgb="FF000099"/>
      </top>
      <bottom style="thin">
        <color rgb="FF000099"/>
      </bottom>
      <diagonal/>
    </border>
    <border>
      <left/>
      <right/>
      <top style="thick">
        <color rgb="FF000099"/>
      </top>
      <bottom style="thin">
        <color rgb="FF000099"/>
      </bottom>
      <diagonal/>
    </border>
    <border>
      <left/>
      <right style="thin">
        <color rgb="FF000099"/>
      </right>
      <top style="thick">
        <color rgb="FF000099"/>
      </top>
      <bottom style="thin">
        <color rgb="FF000099"/>
      </bottom>
      <diagonal/>
    </border>
    <border>
      <left style="thin">
        <color indexed="64"/>
      </left>
      <right style="thin">
        <color rgb="FF000099"/>
      </right>
      <top style="thin">
        <color indexed="64"/>
      </top>
      <bottom style="thin">
        <color indexed="64"/>
      </bottom>
      <diagonal/>
    </border>
    <border>
      <left style="thin">
        <color rgb="FF000099"/>
      </left>
      <right/>
      <top style="thin">
        <color rgb="FF000099"/>
      </top>
      <bottom style="double">
        <color rgb="FF000099"/>
      </bottom>
      <diagonal/>
    </border>
    <border>
      <left/>
      <right style="thin">
        <color rgb="FF000099"/>
      </right>
      <top style="thin">
        <color rgb="FF000099"/>
      </top>
      <bottom style="double">
        <color rgb="FF000099"/>
      </bottom>
      <diagonal/>
    </border>
    <border>
      <left style="thin">
        <color indexed="64"/>
      </left>
      <right style="thin">
        <color rgb="FF000099"/>
      </right>
      <top style="thin">
        <color indexed="64"/>
      </top>
      <bottom style="double">
        <color rgb="FF000099"/>
      </bottom>
      <diagonal/>
    </border>
    <border>
      <left style="thin">
        <color indexed="64"/>
      </left>
      <right/>
      <top style="double">
        <color rgb="FF000099"/>
      </top>
      <bottom style="thin">
        <color indexed="64"/>
      </bottom>
      <diagonal/>
    </border>
    <border>
      <left/>
      <right style="thin">
        <color indexed="64"/>
      </right>
      <top style="double">
        <color rgb="FF00009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99"/>
      </top>
      <bottom style="thin">
        <color rgb="FF000099"/>
      </bottom>
      <diagonal/>
    </border>
    <border>
      <left/>
      <right style="thin">
        <color rgb="FF000099"/>
      </right>
      <top style="thin">
        <color rgb="FF000099"/>
      </top>
      <bottom style="thin">
        <color rgb="FF000099"/>
      </bottom>
      <diagonal/>
    </border>
    <border>
      <left/>
      <right/>
      <top style="thin">
        <color rgb="FF000099"/>
      </top>
      <bottom style="double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double">
        <color rgb="FF00009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44" fontId="4" fillId="2" borderId="11" xfId="2" applyFont="1" applyFill="1" applyBorder="1" applyAlignment="1">
      <alignment horizontal="center" wrapText="1"/>
    </xf>
    <xf numFmtId="44" fontId="4" fillId="2" borderId="15" xfId="2" applyFont="1" applyFill="1" applyBorder="1" applyAlignment="1">
      <alignment horizontal="center"/>
    </xf>
    <xf numFmtId="44" fontId="4" fillId="2" borderId="15" xfId="2" applyFont="1" applyFill="1" applyBorder="1" applyAlignment="1">
      <alignment horizontal="center" wrapText="1"/>
    </xf>
    <xf numFmtId="0" fontId="0" fillId="0" borderId="18" xfId="0" applyFill="1" applyBorder="1"/>
    <xf numFmtId="0" fontId="0" fillId="0" borderId="19" xfId="0" applyFill="1" applyBorder="1" applyAlignment="1">
      <alignment horizontal="center"/>
    </xf>
    <xf numFmtId="44" fontId="0" fillId="0" borderId="11" xfId="2" applyFont="1" applyFill="1" applyBorder="1"/>
    <xf numFmtId="44" fontId="0" fillId="0" borderId="19" xfId="2" applyFont="1" applyFill="1" applyBorder="1"/>
    <xf numFmtId="10" fontId="0" fillId="0" borderId="19" xfId="3" applyNumberFormat="1" applyFont="1" applyFill="1" applyBorder="1"/>
    <xf numFmtId="44" fontId="5" fillId="0" borderId="19" xfId="3" applyNumberFormat="1" applyFont="1" applyFill="1" applyBorder="1"/>
    <xf numFmtId="44" fontId="1" fillId="0" borderId="20" xfId="2" applyFont="1" applyFill="1" applyBorder="1"/>
    <xf numFmtId="44" fontId="0" fillId="0" borderId="0" xfId="0" applyNumberFormat="1" applyFill="1"/>
    <xf numFmtId="0" fontId="0" fillId="0" borderId="0" xfId="0" applyFill="1"/>
    <xf numFmtId="0" fontId="0" fillId="0" borderId="21" xfId="0" applyFill="1" applyBorder="1"/>
    <xf numFmtId="0" fontId="0" fillId="0" borderId="11" xfId="0" applyFill="1" applyBorder="1" applyAlignment="1">
      <alignment horizontal="center"/>
    </xf>
    <xf numFmtId="0" fontId="0" fillId="0" borderId="21" xfId="0" applyBorder="1"/>
    <xf numFmtId="44" fontId="0" fillId="0" borderId="19" xfId="3" applyNumberFormat="1" applyFont="1" applyFill="1" applyBorder="1"/>
    <xf numFmtId="0" fontId="0" fillId="0" borderId="22" xfId="0" applyBorder="1"/>
    <xf numFmtId="0" fontId="0" fillId="0" borderId="23" xfId="0" applyFill="1" applyBorder="1" applyAlignment="1">
      <alignment horizontal="center"/>
    </xf>
    <xf numFmtId="0" fontId="0" fillId="3" borderId="24" xfId="0" applyFill="1" applyBorder="1" applyAlignment="1">
      <alignment horizontal="left"/>
    </xf>
    <xf numFmtId="0" fontId="0" fillId="3" borderId="25" xfId="0" applyFill="1" applyBorder="1" applyAlignment="1">
      <alignment horizontal="center"/>
    </xf>
    <xf numFmtId="44" fontId="0" fillId="3" borderId="26" xfId="2" applyFont="1" applyFill="1" applyBorder="1"/>
    <xf numFmtId="10" fontId="0" fillId="3" borderId="26" xfId="3" applyNumberFormat="1" applyFont="1" applyFill="1" applyBorder="1"/>
    <xf numFmtId="44" fontId="0" fillId="3" borderId="27" xfId="2" applyFont="1" applyFill="1" applyBorder="1"/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 horizontal="center"/>
    </xf>
    <xf numFmtId="44" fontId="0" fillId="3" borderId="30" xfId="2" applyFont="1" applyFill="1" applyBorder="1"/>
    <xf numFmtId="10" fontId="0" fillId="3" borderId="30" xfId="3" applyNumberFormat="1" applyFont="1" applyFill="1" applyBorder="1"/>
    <xf numFmtId="44" fontId="0" fillId="3" borderId="31" xfId="2" applyFont="1" applyFill="1" applyBorder="1"/>
    <xf numFmtId="0" fontId="0" fillId="4" borderId="32" xfId="0" applyFill="1" applyBorder="1"/>
    <xf numFmtId="0" fontId="0" fillId="4" borderId="0" xfId="0" applyFill="1" applyAlignment="1">
      <alignment horizontal="center"/>
    </xf>
    <xf numFmtId="44" fontId="0" fillId="4" borderId="0" xfId="2" applyFont="1" applyFill="1"/>
    <xf numFmtId="10" fontId="0" fillId="4" borderId="0" xfId="3" applyNumberFormat="1" applyFont="1" applyFill="1"/>
    <xf numFmtId="44" fontId="1" fillId="4" borderId="0" xfId="2" applyFont="1" applyFill="1"/>
    <xf numFmtId="0" fontId="0" fillId="4" borderId="0" xfId="0" applyFill="1"/>
    <xf numFmtId="0" fontId="0" fillId="0" borderId="0" xfId="0" applyAlignment="1">
      <alignment horizontal="center"/>
    </xf>
    <xf numFmtId="44" fontId="0" fillId="0" borderId="0" xfId="2" applyFont="1"/>
    <xf numFmtId="10" fontId="0" fillId="0" borderId="0" xfId="3" applyNumberFormat="1" applyFont="1"/>
    <xf numFmtId="44" fontId="2" fillId="0" borderId="0" xfId="2" applyFont="1" applyAlignment="1">
      <alignment horizontal="right"/>
    </xf>
    <xf numFmtId="43" fontId="2" fillId="0" borderId="33" xfId="1" applyFont="1" applyBorder="1"/>
    <xf numFmtId="44" fontId="1" fillId="0" borderId="0" xfId="2" applyFont="1"/>
    <xf numFmtId="43" fontId="2" fillId="0" borderId="0" xfId="1" applyFont="1"/>
    <xf numFmtId="0" fontId="4" fillId="2" borderId="37" xfId="0" applyNumberFormat="1" applyFont="1" applyFill="1" applyBorder="1" applyAlignment="1">
      <alignment wrapText="1"/>
    </xf>
    <xf numFmtId="0" fontId="4" fillId="2" borderId="38" xfId="0" applyFont="1" applyFill="1" applyBorder="1" applyAlignment="1"/>
    <xf numFmtId="0" fontId="4" fillId="2" borderId="38" xfId="0" applyNumberFormat="1" applyFont="1" applyFill="1" applyBorder="1" applyAlignment="1"/>
    <xf numFmtId="44" fontId="4" fillId="2" borderId="38" xfId="2" applyFont="1" applyFill="1" applyBorder="1" applyAlignment="1"/>
    <xf numFmtId="14" fontId="4" fillId="2" borderId="38" xfId="2" applyNumberFormat="1" applyFont="1" applyFill="1" applyBorder="1" applyAlignment="1"/>
    <xf numFmtId="44" fontId="4" fillId="2" borderId="40" xfId="2" applyFont="1" applyFill="1" applyBorder="1" applyAlignment="1">
      <alignment horizontal="center" wrapText="1"/>
    </xf>
    <xf numFmtId="44" fontId="4" fillId="2" borderId="38" xfId="2" applyFont="1" applyFill="1" applyBorder="1" applyAlignment="1">
      <alignment wrapText="1"/>
    </xf>
    <xf numFmtId="44" fontId="4" fillId="2" borderId="41" xfId="2" applyFont="1" applyFill="1" applyBorder="1" applyAlignment="1"/>
    <xf numFmtId="0" fontId="4" fillId="2" borderId="14" xfId="0" applyNumberFormat="1" applyFont="1" applyFill="1" applyBorder="1" applyAlignment="1">
      <alignment wrapText="1"/>
    </xf>
    <xf numFmtId="0" fontId="4" fillId="2" borderId="15" xfId="0" applyFont="1" applyFill="1" applyBorder="1" applyAlignment="1"/>
    <xf numFmtId="0" fontId="4" fillId="2" borderId="15" xfId="0" applyNumberFormat="1" applyFont="1" applyFill="1" applyBorder="1" applyAlignment="1"/>
    <xf numFmtId="44" fontId="4" fillId="2" borderId="15" xfId="2" applyFont="1" applyFill="1" applyBorder="1" applyAlignment="1"/>
    <xf numFmtId="14" fontId="4" fillId="2" borderId="15" xfId="2" applyNumberFormat="1" applyFont="1" applyFill="1" applyBorder="1" applyAlignment="1"/>
    <xf numFmtId="44" fontId="4" fillId="2" borderId="15" xfId="2" applyNumberFormat="1" applyFont="1" applyFill="1" applyBorder="1" applyAlignment="1">
      <alignment horizontal="center" wrapText="1"/>
    </xf>
    <xf numFmtId="44" fontId="4" fillId="2" borderId="15" xfId="2" applyFont="1" applyFill="1" applyBorder="1" applyAlignment="1">
      <alignment wrapText="1"/>
    </xf>
    <xf numFmtId="44" fontId="4" fillId="2" borderId="17" xfId="2" applyFont="1" applyFill="1" applyBorder="1" applyAlignment="1"/>
    <xf numFmtId="0" fontId="0" fillId="0" borderId="21" xfId="0" applyNumberFormat="1" applyFill="1" applyBorder="1" applyAlignment="1">
      <alignment horizontal="center"/>
    </xf>
    <xf numFmtId="22" fontId="0" fillId="0" borderId="11" xfId="2" applyNumberFormat="1" applyFont="1" applyFill="1" applyBorder="1"/>
    <xf numFmtId="0" fontId="0" fillId="0" borderId="19" xfId="0" applyNumberFormat="1" applyFill="1" applyBorder="1" applyAlignment="1">
      <alignment horizontal="center"/>
    </xf>
    <xf numFmtId="14" fontId="0" fillId="0" borderId="19" xfId="2" applyNumberFormat="1" applyFont="1" applyFill="1" applyBorder="1"/>
    <xf numFmtId="8" fontId="0" fillId="0" borderId="11" xfId="2" applyNumberFormat="1" applyFont="1" applyFill="1" applyBorder="1"/>
    <xf numFmtId="44" fontId="0" fillId="0" borderId="11" xfId="2" applyNumberFormat="1" applyFont="1" applyFill="1" applyBorder="1"/>
    <xf numFmtId="44" fontId="6" fillId="0" borderId="0" xfId="0" applyNumberFormat="1" applyFont="1"/>
    <xf numFmtId="0" fontId="0" fillId="5" borderId="21" xfId="0" applyNumberFormat="1" applyFill="1" applyBorder="1" applyAlignment="1">
      <alignment horizontal="center"/>
    </xf>
    <xf numFmtId="22" fontId="0" fillId="5" borderId="11" xfId="2" applyNumberFormat="1" applyFont="1" applyFill="1" applyBorder="1"/>
    <xf numFmtId="0" fontId="0" fillId="5" borderId="19" xfId="0" applyNumberFormat="1" applyFill="1" applyBorder="1" applyAlignment="1">
      <alignment horizontal="center"/>
    </xf>
    <xf numFmtId="14" fontId="0" fillId="5" borderId="19" xfId="2" applyNumberFormat="1" applyFont="1" applyFill="1" applyBorder="1"/>
    <xf numFmtId="44" fontId="0" fillId="5" borderId="11" xfId="2" applyFont="1" applyFill="1" applyBorder="1"/>
    <xf numFmtId="44" fontId="0" fillId="5" borderId="19" xfId="2" applyFont="1" applyFill="1" applyBorder="1"/>
    <xf numFmtId="44" fontId="1" fillId="5" borderId="20" xfId="2" applyFont="1" applyFill="1" applyBorder="1"/>
    <xf numFmtId="44" fontId="0" fillId="5" borderId="0" xfId="0" applyNumberFormat="1" applyFill="1"/>
    <xf numFmtId="0" fontId="0" fillId="5" borderId="0" xfId="0" applyFill="1"/>
    <xf numFmtId="8" fontId="7" fillId="0" borderId="0" xfId="0" applyNumberFormat="1" applyFont="1"/>
    <xf numFmtId="44" fontId="0" fillId="0" borderId="0" xfId="2" applyFont="1" applyFill="1"/>
    <xf numFmtId="44" fontId="0" fillId="0" borderId="0" xfId="0" applyNumberFormat="1" applyFont="1"/>
    <xf numFmtId="164" fontId="0" fillId="0" borderId="0" xfId="0" applyNumberFormat="1" applyFill="1"/>
    <xf numFmtId="44" fontId="0" fillId="0" borderId="42" xfId="2" applyFont="1" applyFill="1" applyBorder="1"/>
    <xf numFmtId="44" fontId="0" fillId="0" borderId="0" xfId="0" applyNumberFormat="1" applyAlignment="1">
      <alignment horizontal="center"/>
    </xf>
    <xf numFmtId="0" fontId="0" fillId="0" borderId="43" xfId="0" applyNumberFormat="1" applyFill="1" applyBorder="1" applyAlignment="1">
      <alignment horizontal="center"/>
    </xf>
    <xf numFmtId="0" fontId="0" fillId="0" borderId="11" xfId="0" quotePrefix="1" applyFill="1" applyBorder="1" applyAlignment="1">
      <alignment horizontal="left"/>
    </xf>
    <xf numFmtId="0" fontId="0" fillId="0" borderId="11" xfId="0" applyNumberFormat="1" applyFill="1" applyBorder="1" applyAlignment="1">
      <alignment horizontal="center"/>
    </xf>
    <xf numFmtId="14" fontId="0" fillId="0" borderId="11" xfId="2" applyNumberFormat="1" applyFont="1" applyFill="1" applyBorder="1"/>
    <xf numFmtId="44" fontId="1" fillId="5" borderId="44" xfId="2" applyFont="1" applyFill="1" applyBorder="1"/>
    <xf numFmtId="44" fontId="1" fillId="0" borderId="44" xfId="2" applyFont="1" applyFill="1" applyBorder="1"/>
    <xf numFmtId="44" fontId="0" fillId="3" borderId="47" xfId="2" applyFont="1" applyFill="1" applyBorder="1"/>
    <xf numFmtId="44" fontId="0" fillId="3" borderId="48" xfId="2" applyFont="1" applyFill="1" applyBorder="1"/>
    <xf numFmtId="0" fontId="0" fillId="0" borderId="18" xfId="0" applyNumberFormat="1" applyFill="1" applyBorder="1" applyAlignment="1">
      <alignment horizontal="center"/>
    </xf>
    <xf numFmtId="0" fontId="0" fillId="0" borderId="19" xfId="0" applyFill="1" applyBorder="1"/>
    <xf numFmtId="0" fontId="0" fillId="0" borderId="11" xfId="0" applyFill="1" applyBorder="1"/>
    <xf numFmtId="0" fontId="0" fillId="0" borderId="49" xfId="0" applyNumberFormat="1" applyFill="1" applyBorder="1" applyAlignment="1">
      <alignment horizontal="center"/>
    </xf>
    <xf numFmtId="44" fontId="0" fillId="0" borderId="50" xfId="2" applyFont="1" applyFill="1" applyBorder="1"/>
    <xf numFmtId="14" fontId="0" fillId="0" borderId="50" xfId="2" applyNumberFormat="1" applyFont="1" applyFill="1" applyBorder="1"/>
    <xf numFmtId="44" fontId="1" fillId="0" borderId="51" xfId="2" applyFont="1" applyFill="1" applyBorder="1"/>
    <xf numFmtId="0" fontId="0" fillId="4" borderId="0" xfId="0" applyNumberFormat="1" applyFill="1" applyAlignment="1">
      <alignment horizontal="center"/>
    </xf>
    <xf numFmtId="14" fontId="0" fillId="4" borderId="0" xfId="2" applyNumberFormat="1" applyFont="1" applyFill="1"/>
    <xf numFmtId="44" fontId="0" fillId="0" borderId="0" xfId="2" applyNumberFormat="1" applyFont="1" applyFill="1" applyBorder="1"/>
    <xf numFmtId="44" fontId="0" fillId="4" borderId="0" xfId="2" applyNumberFormat="1" applyFont="1" applyFill="1"/>
    <xf numFmtId="44" fontId="0" fillId="0" borderId="0" xfId="2" applyFont="1" applyFill="1" applyBorder="1"/>
    <xf numFmtId="0" fontId="0" fillId="0" borderId="0" xfId="0" applyNumberFormat="1" applyFill="1" applyAlignment="1">
      <alignment horizontal="center"/>
    </xf>
    <xf numFmtId="14" fontId="0" fillId="0" borderId="0" xfId="2" applyNumberFormat="1" applyFont="1" applyFill="1"/>
    <xf numFmtId="44" fontId="0" fillId="0" borderId="0" xfId="2" applyNumberFormat="1" applyFont="1" applyFill="1"/>
    <xf numFmtId="44" fontId="1" fillId="0" borderId="0" xfId="2" applyFont="1" applyFill="1"/>
    <xf numFmtId="0" fontId="0" fillId="0" borderId="0" xfId="0" applyAlignment="1">
      <alignment vertical="center"/>
    </xf>
    <xf numFmtId="44" fontId="4" fillId="2" borderId="7" xfId="2" applyFont="1" applyFill="1" applyBorder="1" applyAlignment="1">
      <alignment horizontal="center" vertical="center"/>
    </xf>
    <xf numFmtId="44" fontId="4" fillId="2" borderId="8" xfId="2" applyFont="1" applyFill="1" applyBorder="1" applyAlignment="1">
      <alignment horizontal="center" vertical="center" wrapText="1"/>
    </xf>
    <xf numFmtId="44" fontId="4" fillId="2" borderId="39" xfId="2" applyFont="1" applyFill="1" applyBorder="1" applyAlignment="1">
      <alignment horizontal="center" vertical="center" wrapText="1"/>
    </xf>
    <xf numFmtId="44" fontId="4" fillId="2" borderId="11" xfId="2" applyFont="1" applyFill="1" applyBorder="1" applyAlignment="1">
      <alignment horizontal="center" vertical="center" wrapText="1"/>
    </xf>
    <xf numFmtId="44" fontId="4" fillId="2" borderId="55" xfId="2" applyFont="1" applyFill="1" applyBorder="1" applyAlignment="1">
      <alignment horizontal="center" vertical="center" wrapText="1"/>
    </xf>
    <xf numFmtId="44" fontId="4" fillId="2" borderId="56" xfId="2" applyFont="1" applyFill="1" applyBorder="1" applyAlignment="1">
      <alignment horizontal="center" vertical="center"/>
    </xf>
    <xf numFmtId="14" fontId="4" fillId="2" borderId="56" xfId="2" applyNumberFormat="1" applyFont="1" applyFill="1" applyBorder="1" applyAlignment="1">
      <alignment horizontal="center" vertical="center"/>
    </xf>
    <xf numFmtId="14" fontId="4" fillId="2" borderId="58" xfId="2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6" borderId="11" xfId="0" applyNumberFormat="1" applyFill="1" applyBorder="1" applyAlignment="1">
      <alignment horizontal="center" vertical="center"/>
    </xf>
    <xf numFmtId="14" fontId="0" fillId="7" borderId="11" xfId="0" applyNumberForma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14" fontId="5" fillId="7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44" fontId="4" fillId="2" borderId="39" xfId="2" applyFont="1" applyFill="1" applyBorder="1" applyAlignment="1">
      <alignment horizontal="center" vertical="center"/>
    </xf>
    <xf numFmtId="14" fontId="0" fillId="0" borderId="61" xfId="0" applyNumberFormat="1" applyFill="1" applyBorder="1" applyAlignment="1">
      <alignment horizontal="center" vertical="center"/>
    </xf>
    <xf numFmtId="14" fontId="0" fillId="0" borderId="66" xfId="0" applyNumberFormat="1" applyFill="1" applyBorder="1" applyAlignment="1">
      <alignment horizontal="center" vertical="center"/>
    </xf>
    <xf numFmtId="14" fontId="0" fillId="0" borderId="62" xfId="0" applyNumberFormat="1" applyFill="1" applyBorder="1" applyAlignment="1">
      <alignment horizontal="center" vertical="center"/>
    </xf>
    <xf numFmtId="14" fontId="0" fillId="0" borderId="61" xfId="0" applyNumberFormat="1" applyFill="1" applyBorder="1" applyAlignment="1">
      <alignment vertical="center"/>
    </xf>
    <xf numFmtId="14" fontId="0" fillId="0" borderId="66" xfId="0" applyNumberFormat="1" applyFill="1" applyBorder="1" applyAlignment="1">
      <alignment vertical="center"/>
    </xf>
    <xf numFmtId="14" fontId="0" fillId="0" borderId="62" xfId="0" applyNumberFormat="1" applyFill="1" applyBorder="1" applyAlignment="1">
      <alignment vertical="center"/>
    </xf>
    <xf numFmtId="44" fontId="4" fillId="2" borderId="67" xfId="2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4" fillId="2" borderId="12" xfId="2" applyFont="1" applyFill="1" applyBorder="1" applyAlignment="1">
      <alignment horizontal="center" wrapText="1"/>
    </xf>
    <xf numFmtId="44" fontId="4" fillId="2" borderId="16" xfId="2" applyFont="1" applyFill="1" applyBorder="1" applyAlignment="1">
      <alignment horizontal="center" wrapText="1"/>
    </xf>
    <xf numFmtId="44" fontId="4" fillId="2" borderId="13" xfId="2" applyFont="1" applyFill="1" applyBorder="1" applyAlignment="1">
      <alignment horizontal="center"/>
    </xf>
    <xf numFmtId="44" fontId="4" fillId="2" borderId="17" xfId="2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44" fontId="4" fillId="2" borderId="6" xfId="2" applyFont="1" applyFill="1" applyBorder="1" applyAlignment="1">
      <alignment horizontal="center"/>
    </xf>
    <xf numFmtId="44" fontId="4" fillId="2" borderId="15" xfId="2" applyFont="1" applyFill="1" applyBorder="1" applyAlignment="1">
      <alignment horizontal="center"/>
    </xf>
    <xf numFmtId="44" fontId="4" fillId="2" borderId="7" xfId="2" applyFont="1" applyFill="1" applyBorder="1" applyAlignment="1">
      <alignment horizontal="center"/>
    </xf>
    <xf numFmtId="10" fontId="4" fillId="2" borderId="6" xfId="3" applyNumberFormat="1" applyFont="1" applyFill="1" applyBorder="1" applyAlignment="1">
      <alignment horizontal="center" wrapText="1"/>
    </xf>
    <xf numFmtId="10" fontId="4" fillId="2" borderId="15" xfId="3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4" fontId="4" fillId="2" borderId="8" xfId="2" applyFont="1" applyFill="1" applyBorder="1" applyAlignment="1">
      <alignment horizontal="center" wrapText="1"/>
    </xf>
    <xf numFmtId="44" fontId="4" fillId="2" borderId="9" xfId="2" applyFont="1" applyFill="1" applyBorder="1" applyAlignment="1">
      <alignment horizontal="center" wrapText="1"/>
    </xf>
    <xf numFmtId="44" fontId="4" fillId="2" borderId="10" xfId="2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4" fontId="4" fillId="2" borderId="7" xfId="2" applyFont="1" applyFill="1" applyBorder="1" applyAlignment="1">
      <alignment horizontal="center" wrapText="1"/>
    </xf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 horizontal="center"/>
    </xf>
    <xf numFmtId="0" fontId="0" fillId="3" borderId="29" xfId="0" applyFill="1" applyBorder="1" applyAlignment="1">
      <alignment horizontal="left"/>
    </xf>
    <xf numFmtId="0" fontId="3" fillId="2" borderId="34" xfId="0" quotePrefix="1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44" fontId="3" fillId="2" borderId="35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44" fontId="4" fillId="2" borderId="39" xfId="2" applyFont="1" applyFill="1" applyBorder="1" applyAlignment="1">
      <alignment horizontal="center"/>
    </xf>
    <xf numFmtId="44" fontId="4" fillId="2" borderId="39" xfId="2" applyNumberFormat="1" applyFont="1" applyFill="1" applyBorder="1" applyAlignment="1">
      <alignment horizontal="center" wrapText="1"/>
    </xf>
    <xf numFmtId="44" fontId="4" fillId="2" borderId="39" xfId="2" applyFont="1" applyFill="1" applyBorder="1" applyAlignment="1">
      <alignment horizontal="center" wrapText="1"/>
    </xf>
    <xf numFmtId="0" fontId="0" fillId="3" borderId="45" xfId="0" applyFill="1" applyBorder="1" applyAlignment="1">
      <alignment horizontal="left"/>
    </xf>
    <xf numFmtId="0" fontId="0" fillId="3" borderId="46" xfId="0" applyFill="1" applyBorder="1" applyAlignment="1">
      <alignment horizontal="center"/>
    </xf>
    <xf numFmtId="0" fontId="0" fillId="3" borderId="46" xfId="0" applyFill="1" applyBorder="1" applyAlignment="1">
      <alignment horizontal="left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4" fontId="4" fillId="2" borderId="39" xfId="2" applyFont="1" applyFill="1" applyBorder="1" applyAlignment="1">
      <alignment horizontal="center" vertical="center"/>
    </xf>
    <xf numFmtId="0" fontId="3" fillId="2" borderId="52" xfId="0" quotePrefix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4" fontId="4" fillId="2" borderId="7" xfId="2" applyFont="1" applyFill="1" applyBorder="1" applyAlignment="1">
      <alignment horizontal="center" vertical="center"/>
    </xf>
    <xf numFmtId="44" fontId="4" fillId="2" borderId="56" xfId="2" applyFont="1" applyFill="1" applyBorder="1" applyAlignment="1">
      <alignment horizontal="center" vertical="center"/>
    </xf>
    <xf numFmtId="44" fontId="4" fillId="2" borderId="57" xfId="2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4" fontId="4" fillId="2" borderId="40" xfId="2" applyFont="1" applyFill="1" applyBorder="1" applyAlignment="1">
      <alignment horizontal="center" vertical="center"/>
    </xf>
    <xf numFmtId="44" fontId="4" fillId="2" borderId="63" xfId="2" applyFont="1" applyFill="1" applyBorder="1" applyAlignment="1">
      <alignment horizontal="center" vertical="center"/>
    </xf>
    <xf numFmtId="44" fontId="4" fillId="2" borderId="64" xfId="2" applyFont="1" applyFill="1" applyBorder="1" applyAlignment="1">
      <alignment horizontal="center" vertical="center"/>
    </xf>
    <xf numFmtId="14" fontId="4" fillId="2" borderId="56" xfId="2" applyNumberFormat="1" applyFont="1" applyFill="1" applyBorder="1" applyAlignment="1">
      <alignment horizontal="center" vertical="center"/>
    </xf>
    <xf numFmtId="14" fontId="4" fillId="2" borderId="65" xfId="2" applyNumberFormat="1" applyFont="1" applyFill="1" applyBorder="1" applyAlignment="1">
      <alignment horizontal="center" vertical="center"/>
    </xf>
    <xf numFmtId="14" fontId="4" fillId="2" borderId="57" xfId="2" applyNumberFormat="1" applyFont="1" applyFill="1" applyBorder="1" applyAlignment="1">
      <alignment horizontal="center" vertical="center"/>
    </xf>
    <xf numFmtId="14" fontId="5" fillId="6" borderId="61" xfId="0" applyNumberFormat="1" applyFont="1" applyFill="1" applyBorder="1" applyAlignment="1">
      <alignment horizontal="center" vertical="center"/>
    </xf>
    <xf numFmtId="14" fontId="5" fillId="6" borderId="66" xfId="0" applyNumberFormat="1" applyFont="1" applyFill="1" applyBorder="1" applyAlignment="1">
      <alignment horizontal="center" vertical="center"/>
    </xf>
    <xf numFmtId="14" fontId="5" fillId="6" borderId="62" xfId="0" applyNumberFormat="1" applyFont="1" applyFill="1" applyBorder="1" applyAlignment="1">
      <alignment horizontal="center" vertical="center"/>
    </xf>
    <xf numFmtId="14" fontId="0" fillId="0" borderId="61" xfId="0" applyNumberFormat="1" applyFill="1" applyBorder="1" applyAlignment="1">
      <alignment horizontal="center" vertical="center"/>
    </xf>
    <xf numFmtId="14" fontId="0" fillId="0" borderId="66" xfId="0" applyNumberFormat="1" applyFill="1" applyBorder="1" applyAlignment="1">
      <alignment horizontal="center" vertical="center"/>
    </xf>
    <xf numFmtId="14" fontId="0" fillId="0" borderId="62" xfId="0" applyNumberFormat="1" applyFill="1" applyBorder="1" applyAlignment="1">
      <alignment horizontal="center" vertical="center"/>
    </xf>
    <xf numFmtId="14" fontId="0" fillId="6" borderId="61" xfId="0" applyNumberFormat="1" applyFill="1" applyBorder="1" applyAlignment="1">
      <alignment horizontal="center" vertical="center"/>
    </xf>
    <xf numFmtId="14" fontId="0" fillId="6" borderId="66" xfId="0" applyNumberFormat="1" applyFill="1" applyBorder="1" applyAlignment="1">
      <alignment horizontal="center" vertical="center"/>
    </xf>
    <xf numFmtId="14" fontId="0" fillId="6" borderId="62" xfId="0" applyNumberFormat="1" applyFill="1" applyBorder="1" applyAlignment="1">
      <alignment horizontal="center" vertical="center"/>
    </xf>
    <xf numFmtId="14" fontId="0" fillId="5" borderId="61" xfId="0" applyNumberFormat="1" applyFill="1" applyBorder="1" applyAlignment="1">
      <alignment horizontal="center" vertical="center"/>
    </xf>
    <xf numFmtId="14" fontId="0" fillId="5" borderId="66" xfId="0" applyNumberFormat="1" applyFill="1" applyBorder="1" applyAlignment="1">
      <alignment horizontal="center" vertical="center"/>
    </xf>
    <xf numFmtId="14" fontId="0" fillId="5" borderId="62" xfId="0" applyNumberFormat="1" applyFill="1" applyBorder="1" applyAlignment="1">
      <alignment horizontal="center" vertical="center"/>
    </xf>
    <xf numFmtId="14" fontId="0" fillId="7" borderId="61" xfId="0" applyNumberFormat="1" applyFill="1" applyBorder="1" applyAlignment="1">
      <alignment horizontal="center" vertical="center"/>
    </xf>
    <xf numFmtId="14" fontId="0" fillId="7" borderId="66" xfId="0" applyNumberFormat="1" applyFill="1" applyBorder="1" applyAlignment="1">
      <alignment horizontal="center" vertical="center"/>
    </xf>
    <xf numFmtId="14" fontId="0" fillId="7" borderId="62" xfId="0" applyNumberFormat="1" applyFill="1" applyBorder="1" applyAlignment="1">
      <alignment horizontal="center" vertical="center"/>
    </xf>
    <xf numFmtId="14" fontId="2" fillId="7" borderId="61" xfId="0" applyNumberFormat="1" applyFont="1" applyFill="1" applyBorder="1" applyAlignment="1">
      <alignment horizontal="center" vertical="center"/>
    </xf>
    <xf numFmtId="14" fontId="2" fillId="7" borderId="66" xfId="0" applyNumberFormat="1" applyFont="1" applyFill="1" applyBorder="1" applyAlignment="1">
      <alignment horizontal="center" vertical="center"/>
    </xf>
    <xf numFmtId="14" fontId="2" fillId="7" borderId="62" xfId="0" applyNumberFormat="1" applyFont="1" applyFill="1" applyBorder="1" applyAlignment="1">
      <alignment horizontal="center" vertical="center"/>
    </xf>
    <xf numFmtId="44" fontId="4" fillId="2" borderId="8" xfId="2" applyFont="1" applyFill="1" applyBorder="1" applyAlignment="1">
      <alignment horizontal="center" vertical="center"/>
    </xf>
    <xf numFmtId="44" fontId="4" fillId="2" borderId="9" xfId="2" applyFont="1" applyFill="1" applyBorder="1" applyAlignment="1">
      <alignment horizontal="center" vertical="center"/>
    </xf>
    <xf numFmtId="44" fontId="4" fillId="2" borderId="10" xfId="2" applyFont="1" applyFill="1" applyBorder="1" applyAlignment="1">
      <alignment horizontal="center" vertical="center"/>
    </xf>
    <xf numFmtId="0" fontId="0" fillId="6" borderId="66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7" borderId="66" xfId="0" applyFill="1" applyBorder="1" applyAlignment="1">
      <alignment horizontal="center" vertical="center"/>
    </xf>
    <xf numFmtId="0" fontId="0" fillId="7" borderId="62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14" fontId="0" fillId="6" borderId="61" xfId="0" applyNumberFormat="1" applyFont="1" applyFill="1" applyBorder="1" applyAlignment="1">
      <alignment horizontal="center" vertical="center"/>
    </xf>
    <xf numFmtId="14" fontId="0" fillId="6" borderId="66" xfId="0" applyNumberFormat="1" applyFont="1" applyFill="1" applyBorder="1" applyAlignment="1">
      <alignment horizontal="center" vertical="center"/>
    </xf>
    <xf numFmtId="14" fontId="0" fillId="6" borderId="62" xfId="0" applyNumberFormat="1" applyFont="1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Client\FCC%20TRS\NDBEDP\Reimbursement%20Requests\NDBEDP%20Spreadsheets\WIP%20Spreadsheets\PY4%20NDBEDP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Request Dates"/>
      <sheetName val="AK"/>
      <sheetName val="AL"/>
      <sheetName val="AR"/>
      <sheetName val="AZ"/>
      <sheetName val="CA"/>
      <sheetName val="CO"/>
      <sheetName val="CT"/>
      <sheetName val="DC"/>
      <sheetName val="DE"/>
      <sheetName val="FL"/>
      <sheetName val="GA"/>
      <sheetName val="HI"/>
      <sheetName val="IA"/>
      <sheetName val="ID"/>
      <sheetName val="IL"/>
      <sheetName val="IN"/>
      <sheetName val="KS"/>
      <sheetName val="KY"/>
      <sheetName val="LA"/>
      <sheetName val="MA"/>
      <sheetName val="MD"/>
      <sheetName val="ME"/>
      <sheetName val="MI"/>
      <sheetName val="MN"/>
      <sheetName val="MO"/>
      <sheetName val="MS"/>
      <sheetName val="MT"/>
      <sheetName val="NC"/>
      <sheetName val="ND"/>
      <sheetName val="NE"/>
      <sheetName val="NH"/>
      <sheetName val="NJ"/>
      <sheetName val="NM"/>
      <sheetName val="NV"/>
      <sheetName val="NY"/>
      <sheetName val="OH"/>
      <sheetName val="OK"/>
      <sheetName val="OR"/>
      <sheetName val="PA"/>
      <sheetName val="PR"/>
      <sheetName val="RI"/>
      <sheetName val="SC"/>
      <sheetName val="SD"/>
      <sheetName val="TN"/>
      <sheetName val="TX"/>
      <sheetName val="UT"/>
      <sheetName val="VA"/>
      <sheetName val="VI"/>
      <sheetName val="VT"/>
      <sheetName val="WA"/>
      <sheetName val="WI"/>
      <sheetName val="WV"/>
      <sheetName val="WY"/>
      <sheetName val="NO"/>
      <sheetName val="Reallocations"/>
    </sheetNames>
    <sheetDataSet>
      <sheetData sheetId="0">
        <row r="4">
          <cell r="B4" t="str">
            <v>AK</v>
          </cell>
        </row>
        <row r="5">
          <cell r="B5" t="str">
            <v>AL</v>
          </cell>
        </row>
        <row r="6">
          <cell r="B6" t="str">
            <v>AR</v>
          </cell>
        </row>
        <row r="7">
          <cell r="B7" t="str">
            <v>AZ</v>
          </cell>
        </row>
        <row r="8">
          <cell r="B8" t="str">
            <v>CA</v>
          </cell>
        </row>
        <row r="9">
          <cell r="B9" t="str">
            <v>CO</v>
          </cell>
        </row>
        <row r="10">
          <cell r="B10" t="str">
            <v>CT</v>
          </cell>
        </row>
        <row r="11">
          <cell r="B11" t="str">
            <v>DC</v>
          </cell>
        </row>
        <row r="12">
          <cell r="B12" t="str">
            <v>DE</v>
          </cell>
        </row>
        <row r="13">
          <cell r="B13" t="str">
            <v>FL</v>
          </cell>
        </row>
        <row r="14">
          <cell r="B14" t="str">
            <v>GA</v>
          </cell>
        </row>
        <row r="15">
          <cell r="B15" t="str">
            <v>HI</v>
          </cell>
        </row>
        <row r="16">
          <cell r="B16" t="str">
            <v>IA</v>
          </cell>
        </row>
        <row r="17">
          <cell r="B17" t="str">
            <v>ID</v>
          </cell>
        </row>
        <row r="18">
          <cell r="B18" t="str">
            <v>IL</v>
          </cell>
        </row>
        <row r="19">
          <cell r="B19" t="str">
            <v>IN</v>
          </cell>
        </row>
        <row r="20">
          <cell r="B20" t="str">
            <v>KS</v>
          </cell>
        </row>
        <row r="21">
          <cell r="B21" t="str">
            <v>KY</v>
          </cell>
        </row>
        <row r="22">
          <cell r="B22" t="str">
            <v>LA</v>
          </cell>
        </row>
        <row r="23">
          <cell r="B23" t="str">
            <v>MA</v>
          </cell>
        </row>
        <row r="24">
          <cell r="B24" t="str">
            <v>MD</v>
          </cell>
        </row>
        <row r="25">
          <cell r="B25" t="str">
            <v>ME</v>
          </cell>
        </row>
        <row r="26">
          <cell r="B26" t="str">
            <v>MI</v>
          </cell>
        </row>
        <row r="27">
          <cell r="B27" t="str">
            <v>MN</v>
          </cell>
        </row>
        <row r="28">
          <cell r="B28" t="str">
            <v>MO</v>
          </cell>
        </row>
        <row r="29">
          <cell r="B29" t="str">
            <v>MS</v>
          </cell>
        </row>
        <row r="30">
          <cell r="B30" t="str">
            <v>MT</v>
          </cell>
        </row>
        <row r="31">
          <cell r="B31" t="str">
            <v>NC</v>
          </cell>
        </row>
        <row r="32">
          <cell r="B32" t="str">
            <v>ND</v>
          </cell>
        </row>
        <row r="33">
          <cell r="B33" t="str">
            <v>NE</v>
          </cell>
        </row>
        <row r="34">
          <cell r="B34" t="str">
            <v>NH</v>
          </cell>
        </row>
        <row r="35">
          <cell r="B35" t="str">
            <v>NJ</v>
          </cell>
        </row>
        <row r="36">
          <cell r="B36" t="str">
            <v>NM</v>
          </cell>
        </row>
        <row r="37">
          <cell r="B37" t="str">
            <v>NV</v>
          </cell>
        </row>
        <row r="38">
          <cell r="B38" t="str">
            <v>NY</v>
          </cell>
        </row>
        <row r="39">
          <cell r="B39" t="str">
            <v>OH</v>
          </cell>
        </row>
        <row r="40">
          <cell r="B40" t="str">
            <v>OK</v>
          </cell>
        </row>
        <row r="41">
          <cell r="B41" t="str">
            <v>OR</v>
          </cell>
        </row>
        <row r="42">
          <cell r="B42" t="str">
            <v>PA</v>
          </cell>
        </row>
        <row r="43">
          <cell r="B43" t="str">
            <v>PR</v>
          </cell>
        </row>
        <row r="44">
          <cell r="B44" t="str">
            <v>RI</v>
          </cell>
        </row>
        <row r="45">
          <cell r="B45" t="str">
            <v>SC</v>
          </cell>
        </row>
        <row r="46">
          <cell r="B46" t="str">
            <v>SD</v>
          </cell>
        </row>
        <row r="47">
          <cell r="B47" t="str">
            <v>TN</v>
          </cell>
        </row>
        <row r="48">
          <cell r="B48" t="str">
            <v>TX</v>
          </cell>
        </row>
        <row r="49">
          <cell r="B49" t="str">
            <v>UT</v>
          </cell>
        </row>
        <row r="50">
          <cell r="B50" t="str">
            <v>VA</v>
          </cell>
        </row>
        <row r="51">
          <cell r="B51" t="str">
            <v>VI</v>
          </cell>
        </row>
        <row r="52">
          <cell r="B52" t="str">
            <v>VT</v>
          </cell>
        </row>
        <row r="53">
          <cell r="B53" t="str">
            <v>WA</v>
          </cell>
        </row>
        <row r="54">
          <cell r="B54" t="str">
            <v>WI</v>
          </cell>
        </row>
        <row r="55">
          <cell r="B55" t="str">
            <v>WV</v>
          </cell>
        </row>
        <row r="56">
          <cell r="B56" t="str">
            <v>WY</v>
          </cell>
        </row>
        <row r="58">
          <cell r="B58" t="str">
            <v>NO</v>
          </cell>
        </row>
      </sheetData>
      <sheetData sheetId="1">
        <row r="1">
          <cell r="A1" t="str">
            <v>Requests Received As Of 02/28/2017</v>
          </cell>
        </row>
        <row r="4">
          <cell r="C4" t="str">
            <v>OH</v>
          </cell>
          <cell r="F4">
            <v>21339.29</v>
          </cell>
          <cell r="G4">
            <v>18393.75</v>
          </cell>
          <cell r="H4">
            <v>21339.29</v>
          </cell>
          <cell r="I4">
            <v>3200.89</v>
          </cell>
          <cell r="K4">
            <v>15192.86</v>
          </cell>
        </row>
        <row r="5">
          <cell r="C5" t="str">
            <v>NC</v>
          </cell>
          <cell r="F5">
            <v>9263.42</v>
          </cell>
          <cell r="G5">
            <v>0</v>
          </cell>
          <cell r="H5">
            <v>9263.42</v>
          </cell>
          <cell r="I5">
            <v>0</v>
          </cell>
          <cell r="K5">
            <v>0</v>
          </cell>
        </row>
        <row r="6">
          <cell r="C6" t="str">
            <v>GA</v>
          </cell>
          <cell r="F6">
            <v>25391.34</v>
          </cell>
          <cell r="G6">
            <v>4053.17</v>
          </cell>
          <cell r="H6">
            <v>25391.34</v>
          </cell>
          <cell r="I6">
            <v>4053.1699999999996</v>
          </cell>
          <cell r="K6">
            <v>0</v>
          </cell>
        </row>
        <row r="7">
          <cell r="C7" t="str">
            <v>AK</v>
          </cell>
          <cell r="F7">
            <v>796.32</v>
          </cell>
          <cell r="G7">
            <v>1301.22</v>
          </cell>
          <cell r="H7">
            <v>796.32</v>
          </cell>
          <cell r="I7">
            <v>1301.22</v>
          </cell>
          <cell r="K7">
            <v>0</v>
          </cell>
        </row>
        <row r="8">
          <cell r="C8" t="str">
            <v>LA</v>
          </cell>
          <cell r="F8">
            <v>8083.98</v>
          </cell>
          <cell r="G8">
            <v>1445.01</v>
          </cell>
          <cell r="H8">
            <v>8083.98</v>
          </cell>
          <cell r="I8">
            <v>1445.01</v>
          </cell>
        </row>
        <row r="9">
          <cell r="C9" t="str">
            <v>ME</v>
          </cell>
          <cell r="F9">
            <v>3008.62</v>
          </cell>
          <cell r="G9">
            <v>2960.87</v>
          </cell>
          <cell r="H9">
            <v>3008.62</v>
          </cell>
          <cell r="I9">
            <v>451.29</v>
          </cell>
          <cell r="K9">
            <v>2509.58</v>
          </cell>
        </row>
        <row r="10">
          <cell r="C10" t="str">
            <v>NC</v>
          </cell>
          <cell r="F10">
            <v>3313.98</v>
          </cell>
          <cell r="G10">
            <v>0</v>
          </cell>
          <cell r="H10">
            <v>3313.98</v>
          </cell>
          <cell r="I10">
            <v>0</v>
          </cell>
          <cell r="K10">
            <v>0</v>
          </cell>
        </row>
        <row r="11">
          <cell r="C11" t="str">
            <v>GA</v>
          </cell>
          <cell r="F11">
            <v>21098.47</v>
          </cell>
          <cell r="G11">
            <v>2027.13</v>
          </cell>
          <cell r="H11">
            <v>21098.47</v>
          </cell>
          <cell r="I11">
            <v>2027.13</v>
          </cell>
          <cell r="K11">
            <v>0</v>
          </cell>
        </row>
        <row r="12">
          <cell r="C12" t="str">
            <v>LA</v>
          </cell>
          <cell r="F12">
            <v>13001.7</v>
          </cell>
          <cell r="G12">
            <v>955</v>
          </cell>
          <cell r="H12">
            <v>13001.7</v>
          </cell>
          <cell r="I12">
            <v>955</v>
          </cell>
        </row>
        <row r="13">
          <cell r="C13" t="str">
            <v>AK</v>
          </cell>
          <cell r="F13">
            <v>3043.58</v>
          </cell>
          <cell r="G13">
            <v>502.74</v>
          </cell>
          <cell r="H13">
            <v>3043.58</v>
          </cell>
          <cell r="I13">
            <v>502.74</v>
          </cell>
          <cell r="K13">
            <v>0</v>
          </cell>
        </row>
        <row r="14">
          <cell r="C14" t="str">
            <v>ME</v>
          </cell>
          <cell r="F14">
            <v>4335</v>
          </cell>
          <cell r="G14">
            <v>3490.77</v>
          </cell>
          <cell r="H14">
            <v>4335</v>
          </cell>
          <cell r="I14">
            <v>650.25</v>
          </cell>
          <cell r="K14">
            <v>2840.52</v>
          </cell>
        </row>
        <row r="15">
          <cell r="C15" t="str">
            <v>OH</v>
          </cell>
          <cell r="F15">
            <v>75020.39</v>
          </cell>
          <cell r="G15">
            <v>22680</v>
          </cell>
          <cell r="H15">
            <v>75020.39</v>
          </cell>
          <cell r="I15">
            <v>11253.06</v>
          </cell>
          <cell r="K15">
            <v>11426.94</v>
          </cell>
        </row>
        <row r="16">
          <cell r="C16" t="str">
            <v>ND</v>
          </cell>
          <cell r="F16">
            <v>4258.91</v>
          </cell>
          <cell r="G16">
            <v>280.5</v>
          </cell>
          <cell r="H16">
            <v>4258.91</v>
          </cell>
          <cell r="I16">
            <v>280.5</v>
          </cell>
          <cell r="K16">
            <v>0</v>
          </cell>
        </row>
        <row r="17">
          <cell r="C17" t="str">
            <v>NE</v>
          </cell>
          <cell r="F17">
            <v>1343.39</v>
          </cell>
          <cell r="G17">
            <v>1659.7</v>
          </cell>
          <cell r="H17">
            <v>1343.39</v>
          </cell>
          <cell r="I17">
            <v>1197.33</v>
          </cell>
          <cell r="K17">
            <v>462.37000000000012</v>
          </cell>
        </row>
        <row r="18">
          <cell r="C18" t="str">
            <v>OR</v>
          </cell>
          <cell r="F18">
            <v>19428.32</v>
          </cell>
          <cell r="G18">
            <v>6504.78</v>
          </cell>
          <cell r="H18">
            <v>19428.32</v>
          </cell>
          <cell r="I18">
            <v>2914.25</v>
          </cell>
          <cell r="K18">
            <v>3590.5299999999997</v>
          </cell>
        </row>
        <row r="19">
          <cell r="C19" t="str">
            <v>HI</v>
          </cell>
          <cell r="F19">
            <v>25521.55</v>
          </cell>
          <cell r="G19">
            <v>4886.12</v>
          </cell>
          <cell r="H19">
            <v>25521.55</v>
          </cell>
          <cell r="I19">
            <v>3828.23</v>
          </cell>
          <cell r="K19">
            <v>1057.8899999999999</v>
          </cell>
        </row>
        <row r="20">
          <cell r="C20" t="str">
            <v>NY</v>
          </cell>
          <cell r="F20">
            <v>48452.28</v>
          </cell>
          <cell r="G20">
            <v>43946.1</v>
          </cell>
          <cell r="H20">
            <v>48452.28</v>
          </cell>
          <cell r="I20">
            <v>7267.84</v>
          </cell>
          <cell r="K20">
            <v>36678.259999999995</v>
          </cell>
        </row>
        <row r="21">
          <cell r="C21" t="str">
            <v>IA</v>
          </cell>
          <cell r="F21">
            <v>67955.360000000001</v>
          </cell>
          <cell r="G21">
            <v>32533.09</v>
          </cell>
          <cell r="H21">
            <v>67955.360000000001</v>
          </cell>
          <cell r="I21">
            <v>10193.299999999999</v>
          </cell>
          <cell r="K21">
            <v>22339.79</v>
          </cell>
        </row>
        <row r="22">
          <cell r="C22" t="str">
            <v>VA</v>
          </cell>
          <cell r="F22">
            <v>8458.9</v>
          </cell>
          <cell r="G22">
            <v>0</v>
          </cell>
          <cell r="H22">
            <v>8458.9</v>
          </cell>
          <cell r="I22">
            <v>0</v>
          </cell>
        </row>
        <row r="23">
          <cell r="C23" t="str">
            <v>OH</v>
          </cell>
          <cell r="F23">
            <v>47211.76</v>
          </cell>
          <cell r="G23">
            <v>29137.65</v>
          </cell>
          <cell r="H23">
            <v>47211.76</v>
          </cell>
          <cell r="I23">
            <v>7081.76</v>
          </cell>
          <cell r="K23">
            <v>22055.89</v>
          </cell>
        </row>
        <row r="24">
          <cell r="C24" t="str">
            <v>DE</v>
          </cell>
          <cell r="F24">
            <v>1623.14</v>
          </cell>
          <cell r="G24">
            <v>243.47</v>
          </cell>
          <cell r="H24">
            <v>1623.14</v>
          </cell>
          <cell r="I24">
            <v>243.47</v>
          </cell>
        </row>
        <row r="25">
          <cell r="C25" t="str">
            <v>AR</v>
          </cell>
          <cell r="F25">
            <v>2515.86</v>
          </cell>
          <cell r="G25">
            <v>1306.8900000000001</v>
          </cell>
          <cell r="H25">
            <v>2515.86</v>
          </cell>
          <cell r="I25">
            <v>1306.8899999999999</v>
          </cell>
          <cell r="K25">
            <v>0</v>
          </cell>
        </row>
        <row r="26">
          <cell r="C26" t="str">
            <v>AZ</v>
          </cell>
          <cell r="F26">
            <v>14402.72</v>
          </cell>
          <cell r="G26">
            <v>3217.2</v>
          </cell>
          <cell r="H26">
            <v>14402.72</v>
          </cell>
          <cell r="I26">
            <v>3217.2</v>
          </cell>
          <cell r="K26">
            <v>0</v>
          </cell>
        </row>
        <row r="27">
          <cell r="C27" t="str">
            <v>IN</v>
          </cell>
          <cell r="F27">
            <v>14711.71</v>
          </cell>
          <cell r="G27">
            <v>3760.86</v>
          </cell>
          <cell r="H27">
            <v>14711.71</v>
          </cell>
          <cell r="I27">
            <v>3760.86</v>
          </cell>
          <cell r="K27">
            <v>0</v>
          </cell>
        </row>
        <row r="28">
          <cell r="C28" t="str">
            <v>MA</v>
          </cell>
          <cell r="F28">
            <v>51133.07</v>
          </cell>
          <cell r="G28">
            <v>11576.14</v>
          </cell>
          <cell r="H28">
            <v>51133.07</v>
          </cell>
          <cell r="I28">
            <v>11576.14</v>
          </cell>
          <cell r="K28">
            <v>0</v>
          </cell>
        </row>
        <row r="29">
          <cell r="C29" t="str">
            <v>MD</v>
          </cell>
          <cell r="F29">
            <v>10952.17</v>
          </cell>
          <cell r="G29">
            <v>3005.81</v>
          </cell>
          <cell r="H29">
            <v>10952.17</v>
          </cell>
          <cell r="I29">
            <v>3005.81</v>
          </cell>
          <cell r="K29">
            <v>0</v>
          </cell>
        </row>
        <row r="30">
          <cell r="C30" t="str">
            <v>MI</v>
          </cell>
          <cell r="F30">
            <v>4765.3100000000004</v>
          </cell>
          <cell r="G30">
            <v>1759.94</v>
          </cell>
          <cell r="H30">
            <v>4765.3100000000004</v>
          </cell>
          <cell r="I30">
            <v>1759.94</v>
          </cell>
          <cell r="K30">
            <v>0</v>
          </cell>
        </row>
        <row r="31">
          <cell r="C31" t="str">
            <v>MN</v>
          </cell>
          <cell r="F31">
            <v>39117.269999999997</v>
          </cell>
          <cell r="G31">
            <v>8676.35</v>
          </cell>
          <cell r="H31">
            <v>39117.269999999997</v>
          </cell>
          <cell r="I31">
            <v>8676.35</v>
          </cell>
          <cell r="K31">
            <v>0</v>
          </cell>
        </row>
        <row r="32">
          <cell r="C32" t="str">
            <v>MT</v>
          </cell>
          <cell r="F32">
            <v>3839.38</v>
          </cell>
          <cell r="G32">
            <v>1571.16</v>
          </cell>
          <cell r="H32">
            <v>3839.38</v>
          </cell>
          <cell r="I32">
            <v>1571.1599999999999</v>
          </cell>
          <cell r="K32">
            <v>0</v>
          </cell>
        </row>
        <row r="33">
          <cell r="C33" t="str">
            <v>MS</v>
          </cell>
          <cell r="F33">
            <v>21701.01</v>
          </cell>
          <cell r="G33">
            <v>5165.2700000000004</v>
          </cell>
          <cell r="H33">
            <v>21701.01</v>
          </cell>
          <cell r="I33">
            <v>5165.2700000000004</v>
          </cell>
          <cell r="K33">
            <v>0</v>
          </cell>
        </row>
        <row r="34">
          <cell r="C34" t="str">
            <v>NM</v>
          </cell>
          <cell r="F34">
            <v>7035.05</v>
          </cell>
          <cell r="G34">
            <v>2220.5300000000002</v>
          </cell>
          <cell r="H34">
            <v>7035.05</v>
          </cell>
          <cell r="I34">
            <v>2181.66</v>
          </cell>
          <cell r="K34">
            <v>38.870000000000346</v>
          </cell>
        </row>
        <row r="35">
          <cell r="C35" t="str">
            <v>NV</v>
          </cell>
          <cell r="F35">
            <v>32611.23</v>
          </cell>
          <cell r="G35">
            <v>7362.52</v>
          </cell>
          <cell r="H35">
            <v>32611.23</v>
          </cell>
          <cell r="I35">
            <v>7134.89</v>
          </cell>
          <cell r="K35">
            <v>227.63000000000011</v>
          </cell>
        </row>
        <row r="36">
          <cell r="C36" t="str">
            <v>PR</v>
          </cell>
          <cell r="F36">
            <v>1214.75</v>
          </cell>
          <cell r="G36">
            <v>1042.6300000000001</v>
          </cell>
          <cell r="H36">
            <v>1214.75</v>
          </cell>
          <cell r="I36">
            <v>847.02</v>
          </cell>
          <cell r="K36">
            <v>195.61000000000013</v>
          </cell>
        </row>
        <row r="37">
          <cell r="C37" t="str">
            <v>SC</v>
          </cell>
          <cell r="F37">
            <v>24785.56</v>
          </cell>
          <cell r="G37">
            <v>5792.02</v>
          </cell>
          <cell r="H37">
            <v>24785.56</v>
          </cell>
          <cell r="I37">
            <v>5792.0199999999995</v>
          </cell>
          <cell r="K37">
            <v>0</v>
          </cell>
        </row>
        <row r="38">
          <cell r="C38" t="str">
            <v>TX</v>
          </cell>
          <cell r="F38">
            <v>94412.01</v>
          </cell>
          <cell r="G38">
            <v>21748.48</v>
          </cell>
          <cell r="H38">
            <v>94412.01</v>
          </cell>
          <cell r="I38">
            <v>21748.48</v>
          </cell>
          <cell r="K38">
            <v>0</v>
          </cell>
        </row>
        <row r="39">
          <cell r="C39" t="str">
            <v>UT</v>
          </cell>
          <cell r="F39">
            <v>13967.96</v>
          </cell>
          <cell r="G39">
            <v>3609.86</v>
          </cell>
          <cell r="H39">
            <v>13967.96</v>
          </cell>
          <cell r="I39">
            <v>3609.8599999999997</v>
          </cell>
          <cell r="K39">
            <v>0</v>
          </cell>
        </row>
        <row r="40">
          <cell r="C40" t="str">
            <v>VI</v>
          </cell>
          <cell r="F40">
            <v>1530.7</v>
          </cell>
          <cell r="G40">
            <v>1110.5899999999999</v>
          </cell>
          <cell r="H40">
            <v>1530.7</v>
          </cell>
          <cell r="I40">
            <v>369.95000000000005</v>
          </cell>
          <cell r="K40">
            <v>740.63999999999987</v>
          </cell>
        </row>
        <row r="41">
          <cell r="C41" t="str">
            <v>WV</v>
          </cell>
          <cell r="F41">
            <v>9381.7900000000009</v>
          </cell>
          <cell r="G41">
            <v>2688.67</v>
          </cell>
          <cell r="H41">
            <v>9381.7900000000009</v>
          </cell>
          <cell r="I41">
            <v>2676.17</v>
          </cell>
          <cell r="K41">
            <v>12.5</v>
          </cell>
        </row>
        <row r="42">
          <cell r="C42" t="str">
            <v>VT</v>
          </cell>
          <cell r="F42">
            <v>7871.28</v>
          </cell>
          <cell r="G42">
            <v>2379.1</v>
          </cell>
          <cell r="H42">
            <v>7871.28</v>
          </cell>
          <cell r="I42">
            <v>1942.8000000000002</v>
          </cell>
          <cell r="K42">
            <v>436.29999999999973</v>
          </cell>
        </row>
        <row r="43">
          <cell r="C43" t="str">
            <v>RI</v>
          </cell>
          <cell r="F43">
            <v>19296.88</v>
          </cell>
          <cell r="G43">
            <v>4682.0600000000004</v>
          </cell>
          <cell r="H43">
            <v>19296.88</v>
          </cell>
          <cell r="I43">
            <v>3821.2799999999997</v>
          </cell>
          <cell r="K43">
            <v>860.78000000000065</v>
          </cell>
        </row>
        <row r="44">
          <cell r="C44" t="str">
            <v>CT</v>
          </cell>
          <cell r="F44">
            <v>20523.810000000001</v>
          </cell>
          <cell r="G44">
            <v>2425</v>
          </cell>
          <cell r="H44">
            <v>20523.810000000001</v>
          </cell>
          <cell r="I44">
            <v>2425</v>
          </cell>
        </row>
        <row r="45">
          <cell r="C45" t="str">
            <v>CO</v>
          </cell>
          <cell r="F45">
            <v>27368.68</v>
          </cell>
          <cell r="G45">
            <v>2463.75</v>
          </cell>
          <cell r="H45">
            <v>27368.68</v>
          </cell>
          <cell r="I45">
            <v>2463.75</v>
          </cell>
        </row>
        <row r="46">
          <cell r="C46" t="str">
            <v>OK</v>
          </cell>
          <cell r="F46">
            <v>2550.7600000000002</v>
          </cell>
          <cell r="G46">
            <v>630.47</v>
          </cell>
          <cell r="H46">
            <v>2550.7600000000002</v>
          </cell>
          <cell r="I46">
            <v>630.47</v>
          </cell>
          <cell r="K46">
            <v>0</v>
          </cell>
        </row>
        <row r="47">
          <cell r="C47" t="str">
            <v>AK</v>
          </cell>
          <cell r="F47">
            <v>2945.92</v>
          </cell>
          <cell r="G47">
            <v>877.32</v>
          </cell>
          <cell r="H47">
            <v>2945.92</v>
          </cell>
          <cell r="I47">
            <v>589.71</v>
          </cell>
          <cell r="K47">
            <v>287.61</v>
          </cell>
        </row>
        <row r="48">
          <cell r="C48" t="str">
            <v>CA</v>
          </cell>
          <cell r="F48">
            <v>210238.84</v>
          </cell>
          <cell r="G48">
            <v>33392.239999999998</v>
          </cell>
          <cell r="H48">
            <v>210058.84</v>
          </cell>
          <cell r="I48">
            <v>33392.240000000005</v>
          </cell>
          <cell r="K48">
            <v>0</v>
          </cell>
          <cell r="N48">
            <v>180</v>
          </cell>
        </row>
        <row r="49">
          <cell r="C49" t="str">
            <v>DC</v>
          </cell>
          <cell r="F49">
            <v>9278.0499999999993</v>
          </cell>
          <cell r="G49">
            <v>1919.85</v>
          </cell>
          <cell r="H49">
            <v>9278.0499999999993</v>
          </cell>
          <cell r="I49">
            <v>1755.9</v>
          </cell>
          <cell r="K49">
            <v>163.95</v>
          </cell>
        </row>
        <row r="50">
          <cell r="C50" t="str">
            <v>MO</v>
          </cell>
          <cell r="F50">
            <v>28416.09</v>
          </cell>
          <cell r="G50">
            <v>4725.9799999999996</v>
          </cell>
          <cell r="H50">
            <v>28416.09</v>
          </cell>
          <cell r="I50">
            <v>4725.9799999999996</v>
          </cell>
          <cell r="K50">
            <v>0</v>
          </cell>
        </row>
        <row r="51">
          <cell r="C51" t="str">
            <v>KY</v>
          </cell>
          <cell r="F51">
            <v>4928.0200000000004</v>
          </cell>
          <cell r="G51">
            <v>542.09</v>
          </cell>
          <cell r="H51">
            <v>4928.0200000000004</v>
          </cell>
          <cell r="I51">
            <v>542.09</v>
          </cell>
        </row>
        <row r="52">
          <cell r="C52" t="str">
            <v>GA</v>
          </cell>
          <cell r="F52">
            <v>29675.74</v>
          </cell>
          <cell r="G52">
            <v>3319.43</v>
          </cell>
          <cell r="H52">
            <v>29675.74</v>
          </cell>
          <cell r="I52">
            <v>3319.43</v>
          </cell>
          <cell r="K52">
            <v>0</v>
          </cell>
        </row>
        <row r="53">
          <cell r="C53" t="str">
            <v>ME</v>
          </cell>
          <cell r="F53">
            <v>4697.5</v>
          </cell>
          <cell r="G53">
            <v>1658.25</v>
          </cell>
          <cell r="H53">
            <v>4697.5</v>
          </cell>
          <cell r="I53">
            <v>704.63</v>
          </cell>
          <cell r="K53">
            <v>953.62</v>
          </cell>
        </row>
        <row r="54">
          <cell r="C54" t="str">
            <v>ID</v>
          </cell>
          <cell r="F54">
            <v>9077.56</v>
          </cell>
          <cell r="G54">
            <v>1361.64</v>
          </cell>
          <cell r="H54">
            <v>9077.56</v>
          </cell>
          <cell r="I54">
            <v>1361.63</v>
          </cell>
          <cell r="K54">
            <v>9.9999999999909051E-3</v>
          </cell>
        </row>
        <row r="55">
          <cell r="C55" t="str">
            <v>TN</v>
          </cell>
          <cell r="F55">
            <v>39430.949999999997</v>
          </cell>
          <cell r="G55">
            <v>5914.64</v>
          </cell>
          <cell r="H55">
            <v>39430.949999999997</v>
          </cell>
          <cell r="I55">
            <v>5914.64</v>
          </cell>
        </row>
        <row r="56">
          <cell r="C56" t="str">
            <v>FL</v>
          </cell>
          <cell r="F56">
            <v>37404.230000000003</v>
          </cell>
          <cell r="G56">
            <v>12252.68</v>
          </cell>
          <cell r="H56">
            <v>37404.230000000003</v>
          </cell>
          <cell r="I56">
            <v>5610.63</v>
          </cell>
          <cell r="K56">
            <v>6642.05</v>
          </cell>
        </row>
        <row r="57">
          <cell r="C57" t="str">
            <v>LA</v>
          </cell>
          <cell r="F57">
            <v>5319.46</v>
          </cell>
          <cell r="G57">
            <v>955.08</v>
          </cell>
          <cell r="H57">
            <v>5319.46</v>
          </cell>
          <cell r="I57">
            <v>955.07999999999993</v>
          </cell>
        </row>
        <row r="58">
          <cell r="C58" t="str">
            <v>IL</v>
          </cell>
          <cell r="F58">
            <v>25097.96</v>
          </cell>
          <cell r="G58">
            <v>13620.83</v>
          </cell>
          <cell r="H58">
            <v>25097.96</v>
          </cell>
          <cell r="I58">
            <v>9899.380000000001</v>
          </cell>
          <cell r="K58">
            <v>3721.4499999999989</v>
          </cell>
        </row>
        <row r="59">
          <cell r="C59" t="str">
            <v>AL</v>
          </cell>
          <cell r="F59">
            <v>5680.5</v>
          </cell>
          <cell r="G59">
            <v>852.08</v>
          </cell>
          <cell r="H59">
            <v>5680.5</v>
          </cell>
          <cell r="I59">
            <v>852.08</v>
          </cell>
        </row>
        <row r="60">
          <cell r="C60" t="str">
            <v>OH</v>
          </cell>
          <cell r="F60">
            <v>45671.32</v>
          </cell>
          <cell r="G60">
            <v>14242.5</v>
          </cell>
          <cell r="H60">
            <v>45671.32</v>
          </cell>
          <cell r="I60">
            <v>6850.7</v>
          </cell>
          <cell r="K60">
            <v>7391.8</v>
          </cell>
        </row>
        <row r="61">
          <cell r="C61" t="str">
            <v>GA</v>
          </cell>
          <cell r="F61">
            <v>35931.35</v>
          </cell>
          <cell r="G61">
            <v>6829.33</v>
          </cell>
          <cell r="H61">
            <v>35931.35</v>
          </cell>
          <cell r="I61">
            <v>6829.3325000000004</v>
          </cell>
          <cell r="K61">
            <v>-2.500000000509317E-3</v>
          </cell>
        </row>
        <row r="62">
          <cell r="C62" t="str">
            <v>LA</v>
          </cell>
          <cell r="F62">
            <v>14165.56</v>
          </cell>
          <cell r="G62">
            <v>955.08</v>
          </cell>
          <cell r="H62">
            <v>14165.56</v>
          </cell>
          <cell r="I62">
            <v>955.08</v>
          </cell>
        </row>
        <row r="63">
          <cell r="C63" t="str">
            <v>AK</v>
          </cell>
          <cell r="F63">
            <v>1308.55</v>
          </cell>
          <cell r="G63">
            <v>423.87</v>
          </cell>
          <cell r="H63">
            <v>1308.55</v>
          </cell>
          <cell r="I63">
            <v>196.28</v>
          </cell>
          <cell r="K63">
            <v>227.59</v>
          </cell>
        </row>
        <row r="64">
          <cell r="C64" t="str">
            <v>ME</v>
          </cell>
          <cell r="F64">
            <v>5790.2</v>
          </cell>
          <cell r="G64">
            <v>1891.94</v>
          </cell>
          <cell r="H64">
            <v>5790.2</v>
          </cell>
          <cell r="I64">
            <v>868.53</v>
          </cell>
          <cell r="K64">
            <v>1023.4100000000001</v>
          </cell>
        </row>
        <row r="65">
          <cell r="C65" t="str">
            <v>OH</v>
          </cell>
          <cell r="F65">
            <v>28105.69</v>
          </cell>
          <cell r="G65">
            <v>17077.5</v>
          </cell>
          <cell r="H65">
            <v>28105.69</v>
          </cell>
          <cell r="I65">
            <v>4215.8500000000004</v>
          </cell>
          <cell r="K65">
            <v>12861.65</v>
          </cell>
        </row>
        <row r="66">
          <cell r="C66" t="str">
            <v>AK</v>
          </cell>
          <cell r="F66">
            <v>2706.56</v>
          </cell>
          <cell r="G66">
            <v>207.01</v>
          </cell>
          <cell r="H66">
            <v>2706.56</v>
          </cell>
          <cell r="I66">
            <v>207.01</v>
          </cell>
          <cell r="K66">
            <v>0</v>
          </cell>
        </row>
        <row r="67">
          <cell r="C67" t="str">
            <v>ME</v>
          </cell>
          <cell r="F67">
            <v>5597.31</v>
          </cell>
          <cell r="G67">
            <v>3483.66</v>
          </cell>
          <cell r="H67">
            <v>5597.31</v>
          </cell>
          <cell r="I67">
            <v>839.6</v>
          </cell>
          <cell r="K67">
            <v>2644.06</v>
          </cell>
        </row>
        <row r="68">
          <cell r="C68" t="str">
            <v>LA</v>
          </cell>
          <cell r="F68">
            <v>8526.0499999999993</v>
          </cell>
          <cell r="G68">
            <v>1096.1400000000001</v>
          </cell>
          <cell r="H68">
            <v>8526.0499999999993</v>
          </cell>
          <cell r="I68">
            <v>1096.1400000000001</v>
          </cell>
        </row>
        <row r="69">
          <cell r="C69" t="str">
            <v>GA</v>
          </cell>
          <cell r="F69">
            <v>45028.56</v>
          </cell>
          <cell r="G69">
            <v>4163.4399999999996</v>
          </cell>
          <cell r="H69">
            <v>45028.56</v>
          </cell>
          <cell r="I69">
            <v>4163.4399999999996</v>
          </cell>
          <cell r="K69">
            <v>0</v>
          </cell>
        </row>
        <row r="70">
          <cell r="C70" t="str">
            <v>DC</v>
          </cell>
          <cell r="F70">
            <v>2427.92</v>
          </cell>
          <cell r="G70">
            <v>0</v>
          </cell>
          <cell r="H70">
            <v>2427.92</v>
          </cell>
          <cell r="I70">
            <v>0</v>
          </cell>
          <cell r="K70">
            <v>0</v>
          </cell>
        </row>
        <row r="71">
          <cell r="C71" t="str">
            <v>OH</v>
          </cell>
          <cell r="F71">
            <v>29149.08</v>
          </cell>
          <cell r="G71">
            <v>12285</v>
          </cell>
          <cell r="H71">
            <v>29149.08</v>
          </cell>
          <cell r="I71">
            <v>4372.3599999999997</v>
          </cell>
          <cell r="K71">
            <v>7912.64</v>
          </cell>
        </row>
        <row r="72">
          <cell r="C72" t="str">
            <v>IL</v>
          </cell>
          <cell r="F72">
            <v>31884.05</v>
          </cell>
          <cell r="G72">
            <v>3303.64</v>
          </cell>
          <cell r="H72">
            <v>31844.95</v>
          </cell>
          <cell r="I72">
            <v>3303.64</v>
          </cell>
          <cell r="K72">
            <v>0</v>
          </cell>
          <cell r="N72">
            <v>39.099999999998545</v>
          </cell>
        </row>
        <row r="73">
          <cell r="C73" t="str">
            <v>NY</v>
          </cell>
          <cell r="F73">
            <v>56795.17</v>
          </cell>
          <cell r="G73">
            <v>61116.99</v>
          </cell>
          <cell r="H73">
            <v>56795.17</v>
          </cell>
          <cell r="I73">
            <v>8519.2800000000007</v>
          </cell>
          <cell r="K73">
            <v>52597.71</v>
          </cell>
        </row>
        <row r="74">
          <cell r="C74" t="str">
            <v>HI</v>
          </cell>
          <cell r="F74">
            <v>27640.95</v>
          </cell>
          <cell r="G74">
            <v>4216.9399999999996</v>
          </cell>
          <cell r="H74">
            <v>27640.95</v>
          </cell>
          <cell r="I74">
            <v>4146.1400000000003</v>
          </cell>
          <cell r="K74">
            <v>70.799999999999272</v>
          </cell>
        </row>
        <row r="75">
          <cell r="C75" t="str">
            <v>CT</v>
          </cell>
          <cell r="F75">
            <v>11180.9</v>
          </cell>
          <cell r="G75">
            <v>2525</v>
          </cell>
          <cell r="H75">
            <v>11180.9</v>
          </cell>
          <cell r="I75">
            <v>2525</v>
          </cell>
          <cell r="K75">
            <v>0</v>
          </cell>
        </row>
        <row r="76">
          <cell r="C76" t="str">
            <v>IA</v>
          </cell>
          <cell r="F76">
            <v>25212.77</v>
          </cell>
          <cell r="G76">
            <v>27840.91</v>
          </cell>
          <cell r="H76">
            <v>25212.77</v>
          </cell>
          <cell r="I76">
            <v>3781.92</v>
          </cell>
          <cell r="K76">
            <v>24058.989999999998</v>
          </cell>
        </row>
        <row r="77">
          <cell r="C77" t="str">
            <v>CO</v>
          </cell>
          <cell r="F77">
            <v>33907.660000000003</v>
          </cell>
          <cell r="G77">
            <v>5722.58</v>
          </cell>
          <cell r="H77">
            <v>33907.660000000003</v>
          </cell>
          <cell r="I77">
            <v>5722.58</v>
          </cell>
        </row>
        <row r="78">
          <cell r="C78" t="str">
            <v>OR</v>
          </cell>
          <cell r="F78">
            <v>24930.77</v>
          </cell>
          <cell r="G78">
            <v>3975</v>
          </cell>
          <cell r="H78">
            <v>24930.77</v>
          </cell>
          <cell r="I78">
            <v>3739.62</v>
          </cell>
          <cell r="K78">
            <v>235.38000000000011</v>
          </cell>
        </row>
        <row r="79">
          <cell r="C79" t="str">
            <v>MO</v>
          </cell>
          <cell r="F79">
            <v>40090.25</v>
          </cell>
          <cell r="G79">
            <v>4225.84</v>
          </cell>
          <cell r="H79">
            <v>40090.25</v>
          </cell>
          <cell r="I79">
            <v>4225.84</v>
          </cell>
          <cell r="K79">
            <v>0</v>
          </cell>
        </row>
        <row r="80">
          <cell r="C80" t="str">
            <v>WI</v>
          </cell>
          <cell r="F80">
            <v>46161.04</v>
          </cell>
          <cell r="G80">
            <v>10646.24</v>
          </cell>
          <cell r="H80">
            <v>46161.04</v>
          </cell>
          <cell r="I80">
            <v>10646.24</v>
          </cell>
          <cell r="K80">
            <v>0</v>
          </cell>
        </row>
        <row r="81">
          <cell r="C81" t="str">
            <v>DE</v>
          </cell>
          <cell r="F81">
            <v>301.93</v>
          </cell>
          <cell r="G81">
            <v>45.29</v>
          </cell>
          <cell r="H81">
            <v>301.93</v>
          </cell>
          <cell r="I81">
            <v>45.29</v>
          </cell>
        </row>
        <row r="82">
          <cell r="C82" t="str">
            <v>KS</v>
          </cell>
          <cell r="F82">
            <v>29470.23</v>
          </cell>
          <cell r="G82">
            <v>4420.25</v>
          </cell>
          <cell r="H82">
            <v>29470.23</v>
          </cell>
          <cell r="I82">
            <v>4420.25</v>
          </cell>
        </row>
        <row r="83">
          <cell r="C83" t="str">
            <v>AR</v>
          </cell>
          <cell r="F83">
            <v>13379.8</v>
          </cell>
          <cell r="G83">
            <v>2751.97</v>
          </cell>
          <cell r="H83">
            <v>13379.8</v>
          </cell>
          <cell r="I83">
            <v>2624.33</v>
          </cell>
          <cell r="K83">
            <v>127.63999999999987</v>
          </cell>
        </row>
        <row r="84">
          <cell r="C84" t="str">
            <v>AZ</v>
          </cell>
          <cell r="F84">
            <v>33534.03</v>
          </cell>
          <cell r="G84">
            <v>5687.09</v>
          </cell>
          <cell r="H84">
            <v>33534.03</v>
          </cell>
          <cell r="I84">
            <v>5687.09</v>
          </cell>
          <cell r="K84">
            <v>0</v>
          </cell>
        </row>
        <row r="85">
          <cell r="C85" t="str">
            <v>MA</v>
          </cell>
          <cell r="F85">
            <v>67955.73</v>
          </cell>
          <cell r="G85">
            <v>10703</v>
          </cell>
          <cell r="H85">
            <v>67955.73</v>
          </cell>
          <cell r="I85">
            <v>10503.51</v>
          </cell>
          <cell r="K85">
            <v>199.48999999999978</v>
          </cell>
        </row>
        <row r="86">
          <cell r="C86" t="str">
            <v>MI</v>
          </cell>
          <cell r="F86">
            <v>46782.69</v>
          </cell>
          <cell r="G86">
            <v>7612.21</v>
          </cell>
          <cell r="H86">
            <v>46782.69</v>
          </cell>
          <cell r="I86">
            <v>7607.41</v>
          </cell>
          <cell r="K86">
            <v>4.8000000000001819</v>
          </cell>
        </row>
        <row r="87">
          <cell r="C87" t="str">
            <v>IN</v>
          </cell>
          <cell r="F87">
            <v>20436.46</v>
          </cell>
          <cell r="G87">
            <v>3779.28</v>
          </cell>
          <cell r="H87">
            <v>20436.46</v>
          </cell>
          <cell r="I87">
            <v>3595.18</v>
          </cell>
          <cell r="K87">
            <v>184.10000000000036</v>
          </cell>
        </row>
        <row r="88">
          <cell r="C88" t="str">
            <v>MS</v>
          </cell>
          <cell r="F88">
            <v>16662.11</v>
          </cell>
          <cell r="G88">
            <v>3226.79</v>
          </cell>
          <cell r="H88">
            <v>16662.11</v>
          </cell>
          <cell r="I88">
            <v>2737.98</v>
          </cell>
          <cell r="K88">
            <v>488.80999999999995</v>
          </cell>
        </row>
        <row r="89">
          <cell r="C89" t="str">
            <v>MD</v>
          </cell>
          <cell r="F89">
            <v>33478.71</v>
          </cell>
          <cell r="G89">
            <v>5678.47</v>
          </cell>
          <cell r="H89">
            <v>33478.71</v>
          </cell>
          <cell r="I89">
            <v>5668.7500000000009</v>
          </cell>
          <cell r="K89">
            <v>9.7199999999993452</v>
          </cell>
        </row>
        <row r="90">
          <cell r="C90" t="str">
            <v>MN</v>
          </cell>
          <cell r="F90">
            <v>61777.37</v>
          </cell>
          <cell r="G90">
            <v>9796.25</v>
          </cell>
          <cell r="H90">
            <v>61777.37</v>
          </cell>
          <cell r="I90">
            <v>9788.9500000000007</v>
          </cell>
          <cell r="K90">
            <v>7.2999999999992724</v>
          </cell>
        </row>
        <row r="91">
          <cell r="C91" t="str">
            <v>MT</v>
          </cell>
          <cell r="F91">
            <v>3697.78</v>
          </cell>
          <cell r="G91">
            <v>1336.23</v>
          </cell>
          <cell r="H91">
            <v>3697.78</v>
          </cell>
          <cell r="I91">
            <v>561.08999999999992</v>
          </cell>
          <cell r="K91">
            <v>775.1400000000001</v>
          </cell>
        </row>
        <row r="92">
          <cell r="C92" t="str">
            <v>NM</v>
          </cell>
          <cell r="F92">
            <v>12143.17</v>
          </cell>
          <cell r="G92">
            <v>2570.71</v>
          </cell>
          <cell r="H92">
            <v>12143.17</v>
          </cell>
          <cell r="I92">
            <v>1821.48</v>
          </cell>
          <cell r="K92">
            <v>749.23</v>
          </cell>
        </row>
        <row r="93">
          <cell r="C93" t="str">
            <v>NV</v>
          </cell>
          <cell r="F93">
            <v>59723.1</v>
          </cell>
          <cell r="G93">
            <v>9494.11</v>
          </cell>
          <cell r="H93">
            <v>59723.1</v>
          </cell>
          <cell r="I93">
            <v>8958.4699999999993</v>
          </cell>
          <cell r="K93">
            <v>535.64000000000124</v>
          </cell>
        </row>
        <row r="94">
          <cell r="C94" t="str">
            <v>RI</v>
          </cell>
          <cell r="F94">
            <v>24392.75</v>
          </cell>
          <cell r="G94">
            <v>4349.04</v>
          </cell>
          <cell r="H94">
            <v>24392.75</v>
          </cell>
          <cell r="I94">
            <v>3658.91</v>
          </cell>
          <cell r="K94">
            <v>690.13000000000011</v>
          </cell>
        </row>
        <row r="95">
          <cell r="C95" t="str">
            <v>SC</v>
          </cell>
          <cell r="F95">
            <v>37924.81</v>
          </cell>
          <cell r="G95">
            <v>6325.91</v>
          </cell>
          <cell r="H95">
            <v>37924.81</v>
          </cell>
          <cell r="I95">
            <v>6279.9400000000005</v>
          </cell>
          <cell r="K95">
            <v>45.969999999999345</v>
          </cell>
        </row>
        <row r="96">
          <cell r="C96" t="str">
            <v>TX</v>
          </cell>
          <cell r="F96">
            <v>90376.5</v>
          </cell>
          <cell r="G96">
            <v>15915.85</v>
          </cell>
          <cell r="H96">
            <v>90376.5</v>
          </cell>
          <cell r="I96">
            <v>15912.079999999998</v>
          </cell>
          <cell r="K96">
            <v>3.7700000000022555</v>
          </cell>
        </row>
        <row r="97">
          <cell r="C97" t="str">
            <v>UT</v>
          </cell>
          <cell r="F97">
            <v>27678.3</v>
          </cell>
          <cell r="G97">
            <v>4832.43</v>
          </cell>
          <cell r="H97">
            <v>27678.3</v>
          </cell>
          <cell r="I97">
            <v>4362.99</v>
          </cell>
          <cell r="K97">
            <v>469.44000000000051</v>
          </cell>
        </row>
        <row r="98">
          <cell r="C98" t="str">
            <v>VI</v>
          </cell>
          <cell r="F98">
            <v>7412.02</v>
          </cell>
          <cell r="G98">
            <v>1880.08</v>
          </cell>
          <cell r="H98">
            <v>7412.02</v>
          </cell>
          <cell r="I98">
            <v>1111.8</v>
          </cell>
          <cell r="K98">
            <v>768.28</v>
          </cell>
        </row>
        <row r="99">
          <cell r="C99" t="str">
            <v>VT</v>
          </cell>
          <cell r="F99">
            <v>5120.09</v>
          </cell>
          <cell r="G99">
            <v>1543.42</v>
          </cell>
          <cell r="H99">
            <v>5120.09</v>
          </cell>
          <cell r="I99">
            <v>768.01</v>
          </cell>
          <cell r="K99">
            <v>775.41000000000008</v>
          </cell>
        </row>
        <row r="100">
          <cell r="C100" t="str">
            <v>WV</v>
          </cell>
          <cell r="F100">
            <v>14606.54</v>
          </cell>
          <cell r="G100">
            <v>2924.63</v>
          </cell>
          <cell r="H100">
            <v>14606.54</v>
          </cell>
          <cell r="I100">
            <v>2869.1800000000003</v>
          </cell>
          <cell r="K100">
            <v>55.449999999999818</v>
          </cell>
        </row>
        <row r="101">
          <cell r="C101" t="str">
            <v>PR</v>
          </cell>
          <cell r="F101">
            <v>15729.33</v>
          </cell>
          <cell r="G101">
            <v>3088.69</v>
          </cell>
          <cell r="H101">
            <v>15729.33</v>
          </cell>
          <cell r="I101">
            <v>2359.4</v>
          </cell>
          <cell r="K101">
            <v>729.29</v>
          </cell>
        </row>
        <row r="102">
          <cell r="C102" t="str">
            <v>OK</v>
          </cell>
          <cell r="F102">
            <v>19411.310000000001</v>
          </cell>
          <cell r="G102">
            <v>2780.89</v>
          </cell>
          <cell r="H102">
            <v>19411.310000000001</v>
          </cell>
          <cell r="I102">
            <v>2780.89</v>
          </cell>
        </row>
        <row r="103">
          <cell r="C103" t="str">
            <v>ND</v>
          </cell>
          <cell r="F103">
            <v>5528.41</v>
          </cell>
          <cell r="G103">
            <v>569.5</v>
          </cell>
          <cell r="H103">
            <v>5528.41</v>
          </cell>
          <cell r="I103">
            <v>569.5</v>
          </cell>
          <cell r="K103">
            <v>0</v>
          </cell>
        </row>
        <row r="104">
          <cell r="C104" t="str">
            <v>ME</v>
          </cell>
          <cell r="F104">
            <v>7507.92</v>
          </cell>
          <cell r="G104">
            <v>3032.93</v>
          </cell>
          <cell r="H104">
            <v>7507.92</v>
          </cell>
          <cell r="I104">
            <v>1126.19</v>
          </cell>
          <cell r="K104">
            <v>1906.7399999999998</v>
          </cell>
        </row>
        <row r="105">
          <cell r="C105" t="str">
            <v>NC</v>
          </cell>
          <cell r="F105">
            <v>4923.75</v>
          </cell>
          <cell r="G105">
            <v>10748.56</v>
          </cell>
          <cell r="H105">
            <v>4923.75</v>
          </cell>
          <cell r="I105">
            <v>6092.0499999999993</v>
          </cell>
          <cell r="K105">
            <v>4656.51</v>
          </cell>
        </row>
        <row r="106">
          <cell r="C106" t="str">
            <v>VA</v>
          </cell>
          <cell r="F106">
            <v>33399.949999999997</v>
          </cell>
          <cell r="H106">
            <v>33399.949999999997</v>
          </cell>
        </row>
        <row r="107">
          <cell r="C107" t="str">
            <v>SD</v>
          </cell>
          <cell r="F107">
            <v>6830.14</v>
          </cell>
          <cell r="G107">
            <v>2043.63</v>
          </cell>
          <cell r="H107">
            <v>6830.14</v>
          </cell>
          <cell r="I107">
            <v>2043.63</v>
          </cell>
          <cell r="K107">
            <v>0</v>
          </cell>
        </row>
        <row r="108">
          <cell r="C108" t="str">
            <v>AL</v>
          </cell>
          <cell r="F108">
            <v>41195.83</v>
          </cell>
          <cell r="G108">
            <v>2429.73</v>
          </cell>
          <cell r="H108">
            <v>41195.83</v>
          </cell>
          <cell r="I108">
            <v>2429.73</v>
          </cell>
        </row>
        <row r="109">
          <cell r="C109" t="str">
            <v>TN</v>
          </cell>
          <cell r="F109">
            <v>5403.92</v>
          </cell>
          <cell r="G109">
            <v>7334.71</v>
          </cell>
          <cell r="H109">
            <v>5403.92</v>
          </cell>
          <cell r="I109">
            <v>810.59</v>
          </cell>
          <cell r="K109">
            <v>6524.12</v>
          </cell>
        </row>
        <row r="110">
          <cell r="C110" t="str">
            <v>FL</v>
          </cell>
          <cell r="F110">
            <v>20116.330000000002</v>
          </cell>
          <cell r="G110">
            <v>8385.2800000000007</v>
          </cell>
          <cell r="H110">
            <v>20116.330000000002</v>
          </cell>
          <cell r="I110">
            <v>3017.45</v>
          </cell>
          <cell r="K110">
            <v>5367.8300000000008</v>
          </cell>
        </row>
        <row r="111">
          <cell r="C111" t="str">
            <v>CA</v>
          </cell>
          <cell r="F111">
            <v>195777</v>
          </cell>
          <cell r="G111">
            <v>30036.65</v>
          </cell>
          <cell r="H111">
            <v>195777</v>
          </cell>
          <cell r="I111">
            <v>30036.649999999998</v>
          </cell>
          <cell r="K111">
            <v>0</v>
          </cell>
        </row>
        <row r="112">
          <cell r="C112" t="str">
            <v>ID</v>
          </cell>
          <cell r="F112">
            <v>10142.040000000001</v>
          </cell>
          <cell r="G112">
            <v>1521.3</v>
          </cell>
          <cell r="H112">
            <v>10142.040000000001</v>
          </cell>
          <cell r="I112">
            <v>1521.3</v>
          </cell>
          <cell r="K112">
            <v>0</v>
          </cell>
        </row>
        <row r="113">
          <cell r="C113" t="str">
            <v>KY</v>
          </cell>
          <cell r="F113">
            <v>19831.919999999998</v>
          </cell>
          <cell r="G113">
            <v>2181.4899999999998</v>
          </cell>
          <cell r="H113">
            <v>19831.919999999998</v>
          </cell>
          <cell r="I113">
            <v>2181.4899999999998</v>
          </cell>
        </row>
        <row r="114">
          <cell r="C114" t="str">
            <v>GA</v>
          </cell>
          <cell r="F114">
            <v>31696.240000000002</v>
          </cell>
          <cell r="G114">
            <v>3631.11</v>
          </cell>
          <cell r="H114">
            <v>31696.240000000002</v>
          </cell>
          <cell r="I114">
            <v>3631.11</v>
          </cell>
          <cell r="K114">
            <v>0</v>
          </cell>
        </row>
        <row r="115">
          <cell r="C115" t="str">
            <v>NE</v>
          </cell>
          <cell r="F115">
            <v>5430.98</v>
          </cell>
          <cell r="G115">
            <v>0</v>
          </cell>
          <cell r="H115">
            <v>5430.98</v>
          </cell>
          <cell r="I115">
            <v>0</v>
          </cell>
        </row>
        <row r="116">
          <cell r="C116" t="str">
            <v>LA</v>
          </cell>
          <cell r="F116">
            <v>5128.5200000000004</v>
          </cell>
          <cell r="G116">
            <v>974.27</v>
          </cell>
          <cell r="H116">
            <v>5128.5200000000004</v>
          </cell>
          <cell r="I116">
            <v>974.27</v>
          </cell>
        </row>
        <row r="117">
          <cell r="C117" t="str">
            <v>WY</v>
          </cell>
          <cell r="F117">
            <v>335.7</v>
          </cell>
          <cell r="G117">
            <v>2093</v>
          </cell>
          <cell r="H117">
            <v>335.7</v>
          </cell>
          <cell r="I117">
            <v>2092.9949999999999</v>
          </cell>
          <cell r="K117">
            <v>9.9999999999909051E-3</v>
          </cell>
        </row>
        <row r="118">
          <cell r="C118" t="str">
            <v>NC</v>
          </cell>
          <cell r="F118">
            <v>2236.35</v>
          </cell>
          <cell r="G118">
            <v>0</v>
          </cell>
          <cell r="H118">
            <v>2236.35</v>
          </cell>
          <cell r="I118">
            <v>0</v>
          </cell>
          <cell r="K118">
            <v>0</v>
          </cell>
        </row>
        <row r="119">
          <cell r="C119" t="str">
            <v>NJ</v>
          </cell>
          <cell r="F119">
            <v>81595.22</v>
          </cell>
          <cell r="G119">
            <v>12190.63</v>
          </cell>
          <cell r="H119">
            <v>81595.22</v>
          </cell>
          <cell r="I119">
            <v>12190.63</v>
          </cell>
        </row>
        <row r="120">
          <cell r="C120" t="str">
            <v>OH</v>
          </cell>
          <cell r="F120">
            <v>17557.43</v>
          </cell>
          <cell r="G120">
            <v>20317.5</v>
          </cell>
          <cell r="H120">
            <v>17557.43</v>
          </cell>
          <cell r="I120">
            <v>2633.61</v>
          </cell>
          <cell r="K120">
            <v>17683.89</v>
          </cell>
        </row>
        <row r="121">
          <cell r="C121" t="str">
            <v>GA</v>
          </cell>
          <cell r="F121">
            <v>8276.68</v>
          </cell>
          <cell r="G121">
            <v>3042.81</v>
          </cell>
          <cell r="H121">
            <v>8276.68</v>
          </cell>
          <cell r="I121">
            <v>3042.81</v>
          </cell>
          <cell r="K121">
            <v>0</v>
          </cell>
        </row>
        <row r="122">
          <cell r="C122" t="str">
            <v>AK</v>
          </cell>
          <cell r="F122">
            <v>719.99</v>
          </cell>
          <cell r="G122">
            <v>453.45</v>
          </cell>
          <cell r="H122">
            <v>719.99</v>
          </cell>
          <cell r="I122">
            <v>108</v>
          </cell>
          <cell r="K122">
            <v>345.45</v>
          </cell>
        </row>
        <row r="123">
          <cell r="C123" t="str">
            <v>LA</v>
          </cell>
          <cell r="F123">
            <v>2897.78</v>
          </cell>
          <cell r="G123">
            <v>987.45</v>
          </cell>
          <cell r="H123">
            <v>2897.78</v>
          </cell>
          <cell r="I123">
            <v>987.45</v>
          </cell>
        </row>
        <row r="124">
          <cell r="C124" t="str">
            <v>ME</v>
          </cell>
          <cell r="F124">
            <v>7623.81</v>
          </cell>
          <cell r="G124">
            <v>2677.01</v>
          </cell>
          <cell r="H124">
            <v>7623.81</v>
          </cell>
          <cell r="I124">
            <v>1143.5715</v>
          </cell>
          <cell r="K124">
            <v>1533.4385000000002</v>
          </cell>
        </row>
        <row r="125">
          <cell r="C125" t="str">
            <v>WA</v>
          </cell>
          <cell r="F125">
            <v>99887.86</v>
          </cell>
          <cell r="G125">
            <v>6380.64</v>
          </cell>
          <cell r="H125">
            <v>99887.86</v>
          </cell>
          <cell r="I125">
            <v>6380.64</v>
          </cell>
        </row>
        <row r="126">
          <cell r="C126" t="str">
            <v>NH</v>
          </cell>
          <cell r="F126">
            <v>0</v>
          </cell>
          <cell r="G126">
            <v>417.42</v>
          </cell>
          <cell r="H126">
            <v>0</v>
          </cell>
          <cell r="I126">
            <v>417.41999999999996</v>
          </cell>
          <cell r="K126">
            <v>0</v>
          </cell>
        </row>
        <row r="127">
          <cell r="C127" t="str">
            <v>NC</v>
          </cell>
          <cell r="F127">
            <v>20876.21</v>
          </cell>
          <cell r="G127">
            <v>0</v>
          </cell>
          <cell r="H127">
            <v>20876.21</v>
          </cell>
          <cell r="I127">
            <v>0</v>
          </cell>
        </row>
        <row r="128">
          <cell r="C128" t="str">
            <v>GA</v>
          </cell>
          <cell r="F128">
            <v>20709.57</v>
          </cell>
          <cell r="G128">
            <v>3952.05</v>
          </cell>
          <cell r="H128">
            <v>20709.57</v>
          </cell>
          <cell r="I128">
            <v>3952.05</v>
          </cell>
          <cell r="K128">
            <v>0</v>
          </cell>
        </row>
        <row r="129">
          <cell r="C129" t="str">
            <v>LA</v>
          </cell>
          <cell r="F129">
            <v>16010.96</v>
          </cell>
          <cell r="G129">
            <v>5460.16</v>
          </cell>
          <cell r="H129">
            <v>16010.96</v>
          </cell>
          <cell r="I129">
            <v>5460.16</v>
          </cell>
        </row>
        <row r="130">
          <cell r="C130" t="str">
            <v>AK</v>
          </cell>
          <cell r="F130">
            <v>5540.39</v>
          </cell>
          <cell r="G130">
            <v>433.73</v>
          </cell>
          <cell r="H130">
            <v>5540.39</v>
          </cell>
          <cell r="I130">
            <v>433.73</v>
          </cell>
          <cell r="K130">
            <v>0</v>
          </cell>
        </row>
        <row r="131">
          <cell r="C131" t="str">
            <v>ME</v>
          </cell>
          <cell r="F131">
            <v>9527.86</v>
          </cell>
          <cell r="G131">
            <v>3612.22</v>
          </cell>
          <cell r="H131">
            <v>9527.86</v>
          </cell>
          <cell r="I131">
            <v>1429.17</v>
          </cell>
          <cell r="K131">
            <v>2183.0499999999997</v>
          </cell>
        </row>
        <row r="132">
          <cell r="C132" t="str">
            <v>OH</v>
          </cell>
          <cell r="F132">
            <v>25223.29</v>
          </cell>
          <cell r="G132">
            <v>9961.23</v>
          </cell>
          <cell r="H132">
            <v>25223.29</v>
          </cell>
          <cell r="I132">
            <v>3783.49</v>
          </cell>
          <cell r="K132">
            <v>6177.74</v>
          </cell>
        </row>
        <row r="133">
          <cell r="C133" t="str">
            <v>LA</v>
          </cell>
          <cell r="F133">
            <v>19277.03</v>
          </cell>
          <cell r="G133">
            <v>1026.9100000000001</v>
          </cell>
          <cell r="H133">
            <v>19277.03</v>
          </cell>
          <cell r="I133">
            <v>1026.9100000000001</v>
          </cell>
        </row>
        <row r="134">
          <cell r="C134" t="str">
            <v>NC</v>
          </cell>
          <cell r="F134">
            <v>3839.95</v>
          </cell>
          <cell r="G134">
            <v>7836.15</v>
          </cell>
          <cell r="H134">
            <v>3839.95</v>
          </cell>
          <cell r="I134">
            <v>7220.17</v>
          </cell>
          <cell r="K134">
            <v>615.97999999999956</v>
          </cell>
        </row>
        <row r="135">
          <cell r="C135" t="str">
            <v>HI</v>
          </cell>
          <cell r="F135">
            <v>23607.31</v>
          </cell>
          <cell r="G135">
            <v>3561.97</v>
          </cell>
          <cell r="H135">
            <v>23607.31</v>
          </cell>
          <cell r="I135">
            <v>3541.0965000000001</v>
          </cell>
          <cell r="K135">
            <v>20.873499999999694</v>
          </cell>
        </row>
        <row r="136">
          <cell r="C136" t="str">
            <v>NY</v>
          </cell>
          <cell r="F136">
            <v>62153.11</v>
          </cell>
          <cell r="G136">
            <v>44824.82</v>
          </cell>
          <cell r="H136">
            <v>62153.11</v>
          </cell>
          <cell r="I136">
            <v>9322.9665000000005</v>
          </cell>
          <cell r="K136">
            <v>35501.853499999997</v>
          </cell>
        </row>
        <row r="137">
          <cell r="C137" t="str">
            <v>IA</v>
          </cell>
          <cell r="F137">
            <v>47636.06</v>
          </cell>
          <cell r="G137">
            <v>11905.31</v>
          </cell>
          <cell r="H137">
            <v>47636.06</v>
          </cell>
          <cell r="I137">
            <v>7145.4089999999997</v>
          </cell>
          <cell r="K137">
            <v>4759.9009999999998</v>
          </cell>
        </row>
        <row r="138">
          <cell r="C138" t="str">
            <v>OH</v>
          </cell>
          <cell r="F138">
            <v>25660.2</v>
          </cell>
          <cell r="G138">
            <v>11202.4</v>
          </cell>
          <cell r="H138">
            <v>25660.2</v>
          </cell>
          <cell r="I138">
            <v>3849.03</v>
          </cell>
          <cell r="K138">
            <v>7353.369999999999</v>
          </cell>
        </row>
        <row r="139">
          <cell r="C139" t="str">
            <v>NH</v>
          </cell>
          <cell r="F139">
            <v>1061.0899999999999</v>
          </cell>
          <cell r="G139">
            <v>585.11</v>
          </cell>
          <cell r="H139">
            <v>1061.0899999999999</v>
          </cell>
          <cell r="I139">
            <v>585.11</v>
          </cell>
          <cell r="K139">
            <v>0</v>
          </cell>
        </row>
        <row r="140">
          <cell r="C140" t="str">
            <v>NH</v>
          </cell>
          <cell r="F140">
            <v>703.71</v>
          </cell>
          <cell r="G140">
            <v>2653.14</v>
          </cell>
          <cell r="H140">
            <v>703.71</v>
          </cell>
          <cell r="I140">
            <v>2653.14</v>
          </cell>
          <cell r="K140">
            <v>0</v>
          </cell>
        </row>
        <row r="141">
          <cell r="C141" t="str">
            <v>NH</v>
          </cell>
          <cell r="F141">
            <v>271.74</v>
          </cell>
          <cell r="G141">
            <v>737.79</v>
          </cell>
          <cell r="H141">
            <v>271.74</v>
          </cell>
          <cell r="I141">
            <v>274.29000000000002</v>
          </cell>
          <cell r="K141">
            <v>463.49999999999994</v>
          </cell>
        </row>
        <row r="142">
          <cell r="C142" t="str">
            <v>DE</v>
          </cell>
          <cell r="F142">
            <v>2441.2399999999998</v>
          </cell>
          <cell r="G142">
            <v>366.19</v>
          </cell>
          <cell r="H142">
            <v>2441.2399999999998</v>
          </cell>
          <cell r="I142">
            <v>366.19</v>
          </cell>
        </row>
        <row r="143">
          <cell r="C143" t="str">
            <v>OR</v>
          </cell>
          <cell r="F143">
            <v>25107.52</v>
          </cell>
          <cell r="G143">
            <v>6475</v>
          </cell>
          <cell r="H143">
            <v>25107.52</v>
          </cell>
          <cell r="I143">
            <v>3766.1179999999995</v>
          </cell>
          <cell r="K143">
            <v>2708.8820000000005</v>
          </cell>
        </row>
        <row r="144">
          <cell r="C144" t="str">
            <v>NE</v>
          </cell>
          <cell r="F144">
            <v>5338.09</v>
          </cell>
          <cell r="G144">
            <v>865.6</v>
          </cell>
          <cell r="H144">
            <v>5338.09</v>
          </cell>
          <cell r="I144">
            <v>800.71</v>
          </cell>
          <cell r="K144">
            <v>64.889999999999986</v>
          </cell>
        </row>
        <row r="145">
          <cell r="C145" t="str">
            <v>AK</v>
          </cell>
          <cell r="F145">
            <v>883.53</v>
          </cell>
          <cell r="G145">
            <v>246.45</v>
          </cell>
          <cell r="H145">
            <v>883.53</v>
          </cell>
          <cell r="I145">
            <v>132.53</v>
          </cell>
          <cell r="K145">
            <v>113.91999999999999</v>
          </cell>
        </row>
        <row r="146">
          <cell r="C146" t="str">
            <v>IL</v>
          </cell>
          <cell r="F146">
            <v>71448.67</v>
          </cell>
          <cell r="G146">
            <v>6055.72</v>
          </cell>
          <cell r="H146">
            <v>71448.67</v>
          </cell>
          <cell r="I146">
            <v>6055.72</v>
          </cell>
        </row>
        <row r="147">
          <cell r="C147" t="str">
            <v>CA</v>
          </cell>
          <cell r="F147">
            <v>217017.41</v>
          </cell>
          <cell r="G147">
            <v>28839.040000000001</v>
          </cell>
          <cell r="H147">
            <v>217017.41</v>
          </cell>
          <cell r="I147">
            <v>28839.040000000001</v>
          </cell>
        </row>
        <row r="148">
          <cell r="C148" t="str">
            <v>AZ</v>
          </cell>
          <cell r="F148">
            <v>75500.87</v>
          </cell>
          <cell r="G148">
            <v>9611.4</v>
          </cell>
          <cell r="H148">
            <v>75500.87</v>
          </cell>
          <cell r="I148">
            <v>9611.4</v>
          </cell>
        </row>
        <row r="149">
          <cell r="C149" t="str">
            <v>AR</v>
          </cell>
          <cell r="F149">
            <v>19447.490000000002</v>
          </cell>
          <cell r="G149">
            <v>2751.95</v>
          </cell>
          <cell r="H149">
            <v>19447.490000000002</v>
          </cell>
          <cell r="I149">
            <v>2751.95</v>
          </cell>
        </row>
        <row r="150">
          <cell r="C150" t="str">
            <v>IN</v>
          </cell>
          <cell r="F150">
            <v>37343.4</v>
          </cell>
          <cell r="G150">
            <v>4547.53</v>
          </cell>
          <cell r="H150">
            <v>37343.4</v>
          </cell>
          <cell r="I150">
            <v>4547.53</v>
          </cell>
        </row>
        <row r="151">
          <cell r="C151" t="str">
            <v>MA</v>
          </cell>
          <cell r="F151">
            <v>63206.94</v>
          </cell>
          <cell r="G151">
            <v>7146.29</v>
          </cell>
          <cell r="H151">
            <v>63206.94</v>
          </cell>
          <cell r="I151">
            <v>7146.29</v>
          </cell>
        </row>
        <row r="152">
          <cell r="C152" t="str">
            <v>MD</v>
          </cell>
          <cell r="F152">
            <v>54137.26</v>
          </cell>
          <cell r="G152">
            <v>6239.51</v>
          </cell>
          <cell r="H152">
            <v>54137.26</v>
          </cell>
          <cell r="I152">
            <v>6239.51</v>
          </cell>
        </row>
        <row r="153">
          <cell r="C153" t="str">
            <v>MI</v>
          </cell>
          <cell r="F153">
            <v>37938.83</v>
          </cell>
          <cell r="G153">
            <v>4607.9399999999996</v>
          </cell>
          <cell r="H153">
            <v>37938.83</v>
          </cell>
          <cell r="I153">
            <v>4607.9399999999996</v>
          </cell>
        </row>
        <row r="154">
          <cell r="C154" t="str">
            <v>MN</v>
          </cell>
          <cell r="F154">
            <v>58481.27</v>
          </cell>
          <cell r="G154">
            <v>6671.15</v>
          </cell>
          <cell r="H154">
            <v>58481.27</v>
          </cell>
          <cell r="I154">
            <v>6671.15</v>
          </cell>
        </row>
        <row r="155">
          <cell r="C155" t="str">
            <v>MS</v>
          </cell>
          <cell r="F155">
            <v>26184.84</v>
          </cell>
          <cell r="G155">
            <v>3433.96</v>
          </cell>
          <cell r="H155">
            <v>26184.84</v>
          </cell>
          <cell r="I155">
            <v>3433.96</v>
          </cell>
        </row>
        <row r="156">
          <cell r="C156" t="str">
            <v>MT</v>
          </cell>
          <cell r="F156">
            <v>13234.25</v>
          </cell>
          <cell r="G156">
            <v>1823.89</v>
          </cell>
          <cell r="H156">
            <v>13234.25</v>
          </cell>
          <cell r="I156">
            <v>1823.89</v>
          </cell>
        </row>
        <row r="157">
          <cell r="C157" t="str">
            <v>NM</v>
          </cell>
          <cell r="F157">
            <v>20498.13</v>
          </cell>
          <cell r="G157">
            <v>2772.57</v>
          </cell>
          <cell r="H157">
            <v>20498.13</v>
          </cell>
          <cell r="I157">
            <v>2772.57</v>
          </cell>
        </row>
        <row r="158">
          <cell r="C158" t="str">
            <v>NV</v>
          </cell>
          <cell r="F158">
            <v>40085.21</v>
          </cell>
          <cell r="G158">
            <v>4823.75</v>
          </cell>
          <cell r="H158">
            <v>40085.21</v>
          </cell>
          <cell r="I158">
            <v>4823.75</v>
          </cell>
        </row>
        <row r="159">
          <cell r="C159" t="str">
            <v>PR</v>
          </cell>
          <cell r="F159">
            <v>9358.68</v>
          </cell>
          <cell r="G159">
            <v>1512.41</v>
          </cell>
          <cell r="H159">
            <v>9358.68</v>
          </cell>
          <cell r="I159">
            <v>1403.8</v>
          </cell>
          <cell r="K159">
            <v>108.61000000000013</v>
          </cell>
        </row>
        <row r="160">
          <cell r="C160" t="str">
            <v>RI</v>
          </cell>
          <cell r="F160">
            <v>21327.22</v>
          </cell>
          <cell r="G160">
            <v>2941.88</v>
          </cell>
          <cell r="H160">
            <v>21327.22</v>
          </cell>
          <cell r="I160">
            <v>2941.88</v>
          </cell>
        </row>
        <row r="161">
          <cell r="C161" t="str">
            <v>SC</v>
          </cell>
          <cell r="F161">
            <v>49956.82</v>
          </cell>
          <cell r="G161">
            <v>5816.52</v>
          </cell>
          <cell r="H161">
            <v>49956.82</v>
          </cell>
          <cell r="I161">
            <v>5816.52</v>
          </cell>
        </row>
        <row r="162">
          <cell r="C162" t="str">
            <v>TX</v>
          </cell>
          <cell r="F162">
            <v>239121.65</v>
          </cell>
          <cell r="G162">
            <v>26108.1</v>
          </cell>
          <cell r="H162">
            <v>239121.65</v>
          </cell>
          <cell r="I162">
            <v>26108.1</v>
          </cell>
        </row>
        <row r="163">
          <cell r="C163" t="str">
            <v>UT</v>
          </cell>
          <cell r="F163">
            <v>28701.21</v>
          </cell>
          <cell r="G163">
            <v>3684.25</v>
          </cell>
          <cell r="H163">
            <v>28701.21</v>
          </cell>
          <cell r="I163">
            <v>3684.25</v>
          </cell>
        </row>
        <row r="164">
          <cell r="C164" t="str">
            <v>VI</v>
          </cell>
          <cell r="F164">
            <v>12744.85</v>
          </cell>
          <cell r="G164">
            <v>1771.39</v>
          </cell>
          <cell r="H164">
            <v>12744.85</v>
          </cell>
          <cell r="I164">
            <v>1771.39</v>
          </cell>
        </row>
        <row r="165">
          <cell r="C165" t="str">
            <v>VT</v>
          </cell>
          <cell r="F165">
            <v>10933.68</v>
          </cell>
          <cell r="G165">
            <v>1592.53</v>
          </cell>
          <cell r="H165">
            <v>10933.68</v>
          </cell>
          <cell r="I165">
            <v>1592.53</v>
          </cell>
        </row>
        <row r="166">
          <cell r="C166" t="str">
            <v>WV</v>
          </cell>
          <cell r="F166">
            <v>41711.360000000001</v>
          </cell>
          <cell r="G166">
            <v>4987.8</v>
          </cell>
          <cell r="H166">
            <v>41711.360000000001</v>
          </cell>
          <cell r="I166">
            <v>4987.8</v>
          </cell>
        </row>
        <row r="167">
          <cell r="C167" t="str">
            <v>OK</v>
          </cell>
          <cell r="F167">
            <v>6876.39</v>
          </cell>
          <cell r="G167">
            <v>1042.43</v>
          </cell>
          <cell r="H167">
            <v>6876.39</v>
          </cell>
          <cell r="I167">
            <v>1042.4285</v>
          </cell>
          <cell r="K167">
            <v>1.5000000000782165E-3</v>
          </cell>
        </row>
        <row r="168">
          <cell r="C168" t="str">
            <v>CO</v>
          </cell>
          <cell r="F168">
            <v>44666.07</v>
          </cell>
          <cell r="G168">
            <v>7494</v>
          </cell>
          <cell r="H168">
            <v>44666.07</v>
          </cell>
          <cell r="I168">
            <v>7494</v>
          </cell>
        </row>
        <row r="169">
          <cell r="C169" t="str">
            <v>CT</v>
          </cell>
          <cell r="F169">
            <v>21729.360000000001</v>
          </cell>
          <cell r="G169">
            <v>2612.5</v>
          </cell>
          <cell r="H169">
            <v>21729.360000000001</v>
          </cell>
          <cell r="I169">
            <v>2612.5</v>
          </cell>
        </row>
        <row r="170">
          <cell r="C170" t="str">
            <v>MO</v>
          </cell>
          <cell r="F170">
            <v>55992.08</v>
          </cell>
          <cell r="G170">
            <v>4878.67</v>
          </cell>
          <cell r="H170">
            <v>55992.08</v>
          </cell>
          <cell r="I170">
            <v>4878.67</v>
          </cell>
        </row>
        <row r="171">
          <cell r="C171" t="str">
            <v>AL</v>
          </cell>
          <cell r="F171">
            <v>53553.64</v>
          </cell>
          <cell r="G171">
            <v>6176.62</v>
          </cell>
          <cell r="H171">
            <v>53553.64</v>
          </cell>
          <cell r="I171">
            <v>6176.62</v>
          </cell>
        </row>
        <row r="172">
          <cell r="C172" t="str">
            <v>AK</v>
          </cell>
          <cell r="F172">
            <v>2095.33</v>
          </cell>
          <cell r="G172">
            <v>532.30999999999995</v>
          </cell>
          <cell r="H172">
            <v>2095.33</v>
          </cell>
          <cell r="I172">
            <v>314.29950000000002</v>
          </cell>
          <cell r="K172">
            <v>218.01049999999992</v>
          </cell>
        </row>
        <row r="173">
          <cell r="C173" t="str">
            <v>FL</v>
          </cell>
          <cell r="F173">
            <v>36210.879999999997</v>
          </cell>
          <cell r="G173">
            <v>14489.47</v>
          </cell>
          <cell r="H173">
            <v>36210.879999999997</v>
          </cell>
          <cell r="I173">
            <v>5431.63</v>
          </cell>
          <cell r="K173">
            <v>9057.84</v>
          </cell>
        </row>
        <row r="174">
          <cell r="C174" t="str">
            <v>ME</v>
          </cell>
          <cell r="F174">
            <v>5300.08</v>
          </cell>
          <cell r="G174">
            <v>2959.59</v>
          </cell>
          <cell r="H174">
            <v>5300.08</v>
          </cell>
          <cell r="I174">
            <v>795.01199999999994</v>
          </cell>
          <cell r="K174">
            <v>2164.5780000000004</v>
          </cell>
        </row>
        <row r="175">
          <cell r="C175" t="str">
            <v>DC</v>
          </cell>
          <cell r="F175">
            <v>21975.759999999998</v>
          </cell>
          <cell r="G175">
            <v>199.76</v>
          </cell>
          <cell r="H175">
            <v>21975.759999999998</v>
          </cell>
          <cell r="I175">
            <v>199.76</v>
          </cell>
        </row>
        <row r="176">
          <cell r="C176" t="str">
            <v>GA</v>
          </cell>
          <cell r="F176">
            <v>46597.990000000005</v>
          </cell>
          <cell r="G176">
            <v>3340.48</v>
          </cell>
          <cell r="H176">
            <v>46597.990000000005</v>
          </cell>
          <cell r="I176">
            <v>3340.48</v>
          </cell>
        </row>
        <row r="177">
          <cell r="C177" t="str">
            <v>ID</v>
          </cell>
          <cell r="F177">
            <v>8446.66</v>
          </cell>
          <cell r="G177">
            <v>1267</v>
          </cell>
          <cell r="H177">
            <v>8446.66</v>
          </cell>
          <cell r="I177">
            <v>1267</v>
          </cell>
        </row>
        <row r="178">
          <cell r="C178" t="str">
            <v>OH</v>
          </cell>
          <cell r="F178">
            <v>35557.58</v>
          </cell>
          <cell r="G178">
            <v>9547.51</v>
          </cell>
          <cell r="H178">
            <v>35557.58</v>
          </cell>
          <cell r="I178">
            <v>5333.6369999999997</v>
          </cell>
          <cell r="K178">
            <v>4213.8730000000005</v>
          </cell>
        </row>
        <row r="179">
          <cell r="C179" t="str">
            <v>NH</v>
          </cell>
          <cell r="F179">
            <v>2393.96</v>
          </cell>
          <cell r="G179">
            <v>772.44</v>
          </cell>
          <cell r="H179">
            <v>2393.96</v>
          </cell>
          <cell r="I179">
            <v>359.09</v>
          </cell>
          <cell r="K179">
            <v>413.35000000000008</v>
          </cell>
        </row>
        <row r="180">
          <cell r="C180" t="str">
            <v>NH</v>
          </cell>
          <cell r="F180">
            <v>1898.191</v>
          </cell>
          <cell r="G180">
            <v>921</v>
          </cell>
          <cell r="H180">
            <v>1898.191</v>
          </cell>
          <cell r="I180">
            <v>284.73</v>
          </cell>
          <cell r="K180">
            <v>636.27</v>
          </cell>
        </row>
        <row r="181">
          <cell r="C181" t="str">
            <v>AK</v>
          </cell>
          <cell r="F181">
            <v>6196.75</v>
          </cell>
          <cell r="G181">
            <v>492.88</v>
          </cell>
          <cell r="H181">
            <v>6196.75</v>
          </cell>
          <cell r="I181">
            <v>492.88</v>
          </cell>
          <cell r="K181">
            <v>0</v>
          </cell>
        </row>
        <row r="182">
          <cell r="C182" t="str">
            <v>ME</v>
          </cell>
          <cell r="F182">
            <v>2760.5</v>
          </cell>
          <cell r="G182">
            <v>2243.75</v>
          </cell>
          <cell r="H182">
            <v>2760.5</v>
          </cell>
          <cell r="I182">
            <v>414.08</v>
          </cell>
          <cell r="K182">
            <v>1829.67</v>
          </cell>
        </row>
        <row r="183">
          <cell r="C183" t="str">
            <v>LA</v>
          </cell>
          <cell r="F183">
            <v>7432.05</v>
          </cell>
          <cell r="G183">
            <v>1045.79</v>
          </cell>
          <cell r="H183">
            <v>7432.05</v>
          </cell>
          <cell r="I183">
            <v>1045.79</v>
          </cell>
        </row>
        <row r="184">
          <cell r="C184" t="str">
            <v>PA</v>
          </cell>
          <cell r="F184">
            <v>55975.970000000008</v>
          </cell>
          <cell r="G184">
            <v>8711.2099999999991</v>
          </cell>
          <cell r="H184">
            <v>55975.970000000008</v>
          </cell>
          <cell r="I184">
            <v>8396.4</v>
          </cell>
          <cell r="K184">
            <v>314.80999999999949</v>
          </cell>
        </row>
        <row r="185">
          <cell r="C185" t="str">
            <v>OH</v>
          </cell>
          <cell r="F185">
            <v>33199.360000000001</v>
          </cell>
          <cell r="G185">
            <v>9706.6299999999992</v>
          </cell>
          <cell r="H185">
            <v>33199.360000000001</v>
          </cell>
          <cell r="I185">
            <v>4979.8999999999996</v>
          </cell>
          <cell r="K185">
            <v>4726.7299999999996</v>
          </cell>
        </row>
        <row r="186">
          <cell r="C186" t="str">
            <v>LA</v>
          </cell>
          <cell r="F186">
            <v>15289.529999999999</v>
          </cell>
          <cell r="G186">
            <v>973.49</v>
          </cell>
          <cell r="H186">
            <v>15289.529999999999</v>
          </cell>
          <cell r="I186">
            <v>973.49</v>
          </cell>
        </row>
        <row r="187">
          <cell r="C187" t="str">
            <v>NH</v>
          </cell>
          <cell r="F187">
            <v>1136.24</v>
          </cell>
          <cell r="G187">
            <v>2949.11</v>
          </cell>
          <cell r="H187">
            <v>1136.24</v>
          </cell>
          <cell r="I187">
            <v>170.44</v>
          </cell>
          <cell r="K187">
            <v>2778.67</v>
          </cell>
        </row>
        <row r="188">
          <cell r="C188" t="str">
            <v>NH</v>
          </cell>
          <cell r="F188">
            <v>3567.5499999999997</v>
          </cell>
          <cell r="G188">
            <v>4321.43</v>
          </cell>
          <cell r="H188">
            <v>3567.5499999999997</v>
          </cell>
          <cell r="I188">
            <v>535.13</v>
          </cell>
          <cell r="K188">
            <v>3786.3</v>
          </cell>
        </row>
        <row r="189">
          <cell r="C189" t="str">
            <v>NH</v>
          </cell>
          <cell r="F189">
            <v>1979.62</v>
          </cell>
          <cell r="G189">
            <v>710.57</v>
          </cell>
          <cell r="H189">
            <v>1979.62</v>
          </cell>
          <cell r="I189">
            <v>296.94</v>
          </cell>
          <cell r="K189">
            <v>413.63000000000005</v>
          </cell>
        </row>
        <row r="190">
          <cell r="C190" t="str">
            <v>NH</v>
          </cell>
          <cell r="F190">
            <v>8319.4500000000007</v>
          </cell>
          <cell r="G190">
            <v>1549</v>
          </cell>
          <cell r="H190">
            <v>8319.4500000000007</v>
          </cell>
          <cell r="I190">
            <v>1247.92</v>
          </cell>
          <cell r="K190">
            <v>301.07999999999993</v>
          </cell>
        </row>
        <row r="191">
          <cell r="C191" t="str">
            <v>NH</v>
          </cell>
          <cell r="F191">
            <v>10413.83</v>
          </cell>
          <cell r="G191">
            <v>1226.56</v>
          </cell>
          <cell r="H191">
            <v>10413.83</v>
          </cell>
          <cell r="I191">
            <v>1226.56</v>
          </cell>
        </row>
        <row r="192">
          <cell r="C192" t="str">
            <v>AK</v>
          </cell>
          <cell r="F192">
            <v>3271.47</v>
          </cell>
          <cell r="G192">
            <v>147.86000000000001</v>
          </cell>
          <cell r="H192">
            <v>3271.47</v>
          </cell>
          <cell r="I192">
            <v>147.86000000000001</v>
          </cell>
          <cell r="K192">
            <v>0</v>
          </cell>
        </row>
        <row r="193">
          <cell r="C193" t="str">
            <v>GA</v>
          </cell>
          <cell r="F193">
            <v>45943.610000000008</v>
          </cell>
          <cell r="G193">
            <v>3714.36</v>
          </cell>
          <cell r="H193">
            <v>45943.610000000008</v>
          </cell>
          <cell r="I193">
            <v>3714.36</v>
          </cell>
        </row>
        <row r="194">
          <cell r="C194" t="str">
            <v>VA</v>
          </cell>
          <cell r="F194">
            <v>7900.4</v>
          </cell>
          <cell r="G194">
            <v>10665.96</v>
          </cell>
          <cell r="H194">
            <v>7900.4</v>
          </cell>
          <cell r="I194">
            <v>7463.89</v>
          </cell>
          <cell r="K194">
            <v>3202.07</v>
          </cell>
        </row>
        <row r="195">
          <cell r="C195" t="str">
            <v>NC</v>
          </cell>
          <cell r="F195">
            <v>22972.43</v>
          </cell>
          <cell r="G195">
            <v>0</v>
          </cell>
          <cell r="H195">
            <v>22972.43</v>
          </cell>
          <cell r="I195">
            <v>0</v>
          </cell>
        </row>
        <row r="196">
          <cell r="C196" t="str">
            <v>NC</v>
          </cell>
          <cell r="F196">
            <v>12644.119999999999</v>
          </cell>
          <cell r="G196">
            <v>0</v>
          </cell>
          <cell r="H196">
            <v>12644.119999999999</v>
          </cell>
          <cell r="I196">
            <v>0</v>
          </cell>
        </row>
        <row r="197">
          <cell r="C197" t="str">
            <v>ME</v>
          </cell>
          <cell r="F197">
            <v>9944.41</v>
          </cell>
          <cell r="G197">
            <v>3071.43</v>
          </cell>
          <cell r="H197">
            <v>9944.41</v>
          </cell>
          <cell r="I197">
            <v>1491.66</v>
          </cell>
          <cell r="K197">
            <v>1579.7699999999998</v>
          </cell>
        </row>
        <row r="198">
          <cell r="C198" t="str">
            <v>AK</v>
          </cell>
          <cell r="F198">
            <v>3682.41</v>
          </cell>
          <cell r="G198">
            <v>552.02</v>
          </cell>
          <cell r="H198">
            <v>3682.41</v>
          </cell>
          <cell r="I198">
            <v>552.02</v>
          </cell>
        </row>
        <row r="199">
          <cell r="C199" t="str">
            <v>OR</v>
          </cell>
          <cell r="F199">
            <v>19765.79</v>
          </cell>
          <cell r="G199">
            <v>2964.86</v>
          </cell>
          <cell r="H199">
            <v>19765.79</v>
          </cell>
          <cell r="I199">
            <v>2964.86</v>
          </cell>
        </row>
        <row r="200">
          <cell r="C200" t="str">
            <v>LA</v>
          </cell>
          <cell r="F200">
            <v>16557.05</v>
          </cell>
          <cell r="G200">
            <v>1460.23</v>
          </cell>
          <cell r="H200">
            <v>16557.05</v>
          </cell>
          <cell r="I200">
            <v>1460.23</v>
          </cell>
        </row>
        <row r="201">
          <cell r="C201" t="str">
            <v>ND</v>
          </cell>
          <cell r="F201">
            <v>3476.55</v>
          </cell>
          <cell r="G201">
            <v>620.5</v>
          </cell>
          <cell r="H201">
            <v>3476.55</v>
          </cell>
          <cell r="I201">
            <v>620.5</v>
          </cell>
        </row>
        <row r="202">
          <cell r="C202" t="str">
            <v>NE</v>
          </cell>
          <cell r="F202">
            <v>3660.36</v>
          </cell>
          <cell r="G202">
            <v>367.88</v>
          </cell>
          <cell r="H202">
            <v>3660.36</v>
          </cell>
          <cell r="I202">
            <v>367.88</v>
          </cell>
        </row>
        <row r="203">
          <cell r="C203" t="str">
            <v>NC</v>
          </cell>
          <cell r="F203">
            <v>8678.01</v>
          </cell>
          <cell r="G203">
            <v>0</v>
          </cell>
          <cell r="H203">
            <v>8678.01</v>
          </cell>
        </row>
        <row r="204">
          <cell r="C204" t="str">
            <v>KS</v>
          </cell>
          <cell r="F204">
            <v>112955.17</v>
          </cell>
          <cell r="G204">
            <v>12329.58</v>
          </cell>
          <cell r="H204">
            <v>112955.17</v>
          </cell>
          <cell r="I204">
            <v>12329.58</v>
          </cell>
        </row>
        <row r="205">
          <cell r="C205" t="str">
            <v>OH</v>
          </cell>
          <cell r="F205">
            <v>51569.25</v>
          </cell>
          <cell r="G205">
            <v>8179.03</v>
          </cell>
          <cell r="H205">
            <v>51569.25</v>
          </cell>
          <cell r="I205">
            <v>7735.39</v>
          </cell>
          <cell r="K205">
            <v>443.63999999999942</v>
          </cell>
        </row>
        <row r="206">
          <cell r="C206" t="str">
            <v>SD</v>
          </cell>
          <cell r="F206">
            <v>37693.11</v>
          </cell>
          <cell r="G206">
            <v>0</v>
          </cell>
          <cell r="H206">
            <v>37693.11</v>
          </cell>
          <cell r="I206">
            <v>0</v>
          </cell>
        </row>
        <row r="207">
          <cell r="C207" t="str">
            <v>HI</v>
          </cell>
          <cell r="F207">
            <v>13183.82</v>
          </cell>
          <cell r="G207">
            <v>6068.93</v>
          </cell>
          <cell r="H207">
            <v>13183.82</v>
          </cell>
          <cell r="I207">
            <v>1977.57</v>
          </cell>
          <cell r="K207">
            <v>4091.3600000000006</v>
          </cell>
        </row>
        <row r="208">
          <cell r="C208" t="str">
            <v>IA</v>
          </cell>
          <cell r="F208">
            <v>37852.51</v>
          </cell>
          <cell r="G208">
            <v>24510</v>
          </cell>
          <cell r="H208">
            <v>37852.51</v>
          </cell>
          <cell r="I208">
            <v>5677.88</v>
          </cell>
          <cell r="K208">
            <v>18832.12</v>
          </cell>
        </row>
        <row r="209">
          <cell r="C209" t="str">
            <v>NY</v>
          </cell>
          <cell r="F209">
            <v>69635.679999999993</v>
          </cell>
          <cell r="G209">
            <v>29160.75</v>
          </cell>
          <cell r="H209">
            <v>69635.679999999993</v>
          </cell>
          <cell r="I209">
            <v>10445.35</v>
          </cell>
          <cell r="K209">
            <v>18715.400000000001</v>
          </cell>
        </row>
        <row r="210">
          <cell r="C210" t="str">
            <v>FL</v>
          </cell>
          <cell r="F210">
            <v>60453.67</v>
          </cell>
          <cell r="G210">
            <v>18088.39</v>
          </cell>
          <cell r="H210">
            <v>60453.67</v>
          </cell>
          <cell r="I210">
            <v>9068.0499999999993</v>
          </cell>
          <cell r="K210">
            <v>9020.34</v>
          </cell>
        </row>
        <row r="211">
          <cell r="C211" t="str">
            <v>CT</v>
          </cell>
          <cell r="F211">
            <v>25820.98</v>
          </cell>
          <cell r="G211">
            <v>4437.13</v>
          </cell>
          <cell r="H211">
            <v>25820.98</v>
          </cell>
          <cell r="I211">
            <v>4325.76</v>
          </cell>
        </row>
        <row r="212">
          <cell r="C212" t="str">
            <v>OK</v>
          </cell>
          <cell r="F212">
            <v>23936.25</v>
          </cell>
          <cell r="G212">
            <v>3229.18</v>
          </cell>
          <cell r="H212">
            <v>23936.25</v>
          </cell>
          <cell r="I212">
            <v>3229.18</v>
          </cell>
        </row>
        <row r="213">
          <cell r="C213" t="str">
            <v>GA</v>
          </cell>
          <cell r="F213">
            <v>50164.289999999994</v>
          </cell>
          <cell r="G213">
            <v>2936.35</v>
          </cell>
          <cell r="H213">
            <v>50164.289999999994</v>
          </cell>
          <cell r="I213">
            <v>2936.35</v>
          </cell>
        </row>
        <row r="214">
          <cell r="C214" t="str">
            <v>CO</v>
          </cell>
          <cell r="F214">
            <v>44852.959999999999</v>
          </cell>
          <cell r="G214">
            <v>8098.44</v>
          </cell>
          <cell r="H214">
            <v>44852.959999999999</v>
          </cell>
          <cell r="I214">
            <v>6938.97</v>
          </cell>
          <cell r="K214">
            <v>1159.4699999999993</v>
          </cell>
        </row>
        <row r="215">
          <cell r="C215" t="str">
            <v>IL</v>
          </cell>
          <cell r="F215">
            <v>37095.46</v>
          </cell>
          <cell r="G215">
            <v>5726.35</v>
          </cell>
          <cell r="H215">
            <v>37095.46</v>
          </cell>
          <cell r="I215">
            <v>5564.32</v>
          </cell>
          <cell r="K215">
            <v>162.03000000000065</v>
          </cell>
        </row>
        <row r="216">
          <cell r="C216" t="str">
            <v>AR</v>
          </cell>
          <cell r="F216">
            <v>51224.1</v>
          </cell>
          <cell r="G216">
            <v>6301.92</v>
          </cell>
          <cell r="H216">
            <v>51224.1</v>
          </cell>
          <cell r="I216">
            <v>6301.92</v>
          </cell>
        </row>
        <row r="217">
          <cell r="C217" t="str">
            <v>AZ</v>
          </cell>
          <cell r="F217">
            <v>57052.619999999995</v>
          </cell>
          <cell r="G217">
            <v>8567.58</v>
          </cell>
          <cell r="H217">
            <v>57052.619999999995</v>
          </cell>
          <cell r="I217">
            <v>8557.89</v>
          </cell>
        </row>
        <row r="218">
          <cell r="C218" t="str">
            <v>IN</v>
          </cell>
          <cell r="F218">
            <v>22602.42</v>
          </cell>
          <cell r="G218">
            <v>2360.5300000000002</v>
          </cell>
          <cell r="H218">
            <v>22602.42</v>
          </cell>
          <cell r="I218">
            <v>2360.5300000000002</v>
          </cell>
        </row>
        <row r="219">
          <cell r="C219" t="str">
            <v>MA</v>
          </cell>
          <cell r="F219">
            <v>34433.300000000003</v>
          </cell>
          <cell r="G219">
            <v>3283.42</v>
          </cell>
          <cell r="H219">
            <v>34433.300000000003</v>
          </cell>
          <cell r="I219">
            <v>3283.42</v>
          </cell>
        </row>
        <row r="220">
          <cell r="C220" t="str">
            <v>MD</v>
          </cell>
          <cell r="F220">
            <v>71697.81</v>
          </cell>
          <cell r="G220">
            <v>10625.82</v>
          </cell>
          <cell r="H220">
            <v>71697.81</v>
          </cell>
          <cell r="I220">
            <v>10625.82</v>
          </cell>
        </row>
        <row r="221">
          <cell r="C221" t="str">
            <v>MI</v>
          </cell>
          <cell r="F221">
            <v>50748.97</v>
          </cell>
          <cell r="G221">
            <v>7060.08</v>
          </cell>
          <cell r="H221">
            <v>50748.97</v>
          </cell>
          <cell r="I221">
            <v>7060.08</v>
          </cell>
        </row>
        <row r="222">
          <cell r="C222" t="str">
            <v>MN</v>
          </cell>
          <cell r="F222">
            <v>54455.22</v>
          </cell>
          <cell r="G222">
            <v>6938.22</v>
          </cell>
          <cell r="H222">
            <v>54455.22</v>
          </cell>
          <cell r="I222">
            <v>6938.22</v>
          </cell>
        </row>
        <row r="223">
          <cell r="C223" t="str">
            <v>MS</v>
          </cell>
          <cell r="F223">
            <v>31791.279999999999</v>
          </cell>
          <cell r="G223">
            <v>3113.68</v>
          </cell>
          <cell r="H223">
            <v>31791.279999999999</v>
          </cell>
          <cell r="I223">
            <v>3113.68</v>
          </cell>
        </row>
        <row r="224">
          <cell r="C224" t="str">
            <v>MT</v>
          </cell>
          <cell r="F224">
            <v>14651.89</v>
          </cell>
          <cell r="G224">
            <v>1357.36</v>
          </cell>
          <cell r="H224">
            <v>14651.89</v>
          </cell>
          <cell r="I224">
            <v>1357.36</v>
          </cell>
        </row>
        <row r="225">
          <cell r="C225" t="str">
            <v>NM</v>
          </cell>
          <cell r="F225">
            <v>14139.880000000001</v>
          </cell>
          <cell r="G225">
            <v>1296.72</v>
          </cell>
          <cell r="H225">
            <v>14139.880000000001</v>
          </cell>
          <cell r="I225">
            <v>1296.72</v>
          </cell>
        </row>
        <row r="226">
          <cell r="C226" t="str">
            <v>NV</v>
          </cell>
          <cell r="F226">
            <v>43569.659999999996</v>
          </cell>
          <cell r="G226">
            <v>5481.27</v>
          </cell>
          <cell r="H226">
            <v>43569.659999999996</v>
          </cell>
          <cell r="I226">
            <v>5481.27</v>
          </cell>
        </row>
        <row r="227">
          <cell r="C227" t="str">
            <v>PR</v>
          </cell>
          <cell r="F227">
            <v>11997.51</v>
          </cell>
          <cell r="G227">
            <v>1134.82</v>
          </cell>
          <cell r="H227">
            <v>11997.51</v>
          </cell>
          <cell r="I227">
            <v>1134.82</v>
          </cell>
        </row>
        <row r="228">
          <cell r="C228" t="str">
            <v>RI</v>
          </cell>
          <cell r="F228">
            <v>11308.32</v>
          </cell>
          <cell r="G228">
            <v>1026.7</v>
          </cell>
          <cell r="H228">
            <v>11308.32</v>
          </cell>
          <cell r="I228">
            <v>1026.7</v>
          </cell>
        </row>
        <row r="229">
          <cell r="C229" t="str">
            <v>SC</v>
          </cell>
          <cell r="F229">
            <v>58126.49</v>
          </cell>
          <cell r="G229">
            <v>7730.57</v>
          </cell>
          <cell r="H229">
            <v>58126.49</v>
          </cell>
          <cell r="I229">
            <v>7730.57</v>
          </cell>
        </row>
        <row r="230">
          <cell r="C230" t="str">
            <v>TX</v>
          </cell>
          <cell r="F230">
            <v>134568.78</v>
          </cell>
          <cell r="G230">
            <v>20003.18</v>
          </cell>
          <cell r="H230">
            <v>134568.78</v>
          </cell>
          <cell r="I230">
            <v>20003.18</v>
          </cell>
        </row>
        <row r="231">
          <cell r="C231" t="str">
            <v>UT</v>
          </cell>
          <cell r="F231">
            <v>44612.58</v>
          </cell>
          <cell r="G231">
            <v>5586.91</v>
          </cell>
          <cell r="H231">
            <v>44612.58</v>
          </cell>
          <cell r="I231">
            <v>5586.91</v>
          </cell>
        </row>
        <row r="232">
          <cell r="C232" t="str">
            <v>VI</v>
          </cell>
          <cell r="F232">
            <v>2243.91</v>
          </cell>
          <cell r="G232">
            <v>854.77</v>
          </cell>
          <cell r="H232">
            <v>2243.91</v>
          </cell>
          <cell r="I232">
            <v>336.58</v>
          </cell>
          <cell r="K232">
            <v>518.19000000000005</v>
          </cell>
        </row>
        <row r="233">
          <cell r="C233" t="str">
            <v>VT</v>
          </cell>
          <cell r="F233">
            <v>12562.55</v>
          </cell>
          <cell r="G233">
            <v>1169.8</v>
          </cell>
          <cell r="H233">
            <v>12562.55</v>
          </cell>
          <cell r="I233">
            <v>1169.8</v>
          </cell>
        </row>
        <row r="234">
          <cell r="C234" t="str">
            <v>WV</v>
          </cell>
          <cell r="F234">
            <v>34725.25</v>
          </cell>
          <cell r="G234">
            <v>4530.59</v>
          </cell>
          <cell r="H234">
            <v>34725.25</v>
          </cell>
          <cell r="I234">
            <v>4530.59</v>
          </cell>
        </row>
        <row r="235">
          <cell r="C235" t="str">
            <v>VA</v>
          </cell>
          <cell r="F235">
            <v>14639.05</v>
          </cell>
          <cell r="G235">
            <v>11537.59</v>
          </cell>
          <cell r="H235">
            <v>14639.05</v>
          </cell>
          <cell r="I235">
            <v>2195.86</v>
          </cell>
          <cell r="K235">
            <v>9341.73</v>
          </cell>
        </row>
        <row r="236">
          <cell r="C236" t="str">
            <v>KY</v>
          </cell>
          <cell r="F236">
            <v>24771.170000000002</v>
          </cell>
          <cell r="G236">
            <v>2724.82</v>
          </cell>
          <cell r="J236">
            <v>27495.99</v>
          </cell>
        </row>
        <row r="237">
          <cell r="C237" t="str">
            <v>KY</v>
          </cell>
          <cell r="F237">
            <v>48018.829999999994</v>
          </cell>
          <cell r="G237">
            <v>8491.65</v>
          </cell>
          <cell r="H237">
            <v>48018.829999999994</v>
          </cell>
          <cell r="I237">
            <v>8193.23</v>
          </cell>
          <cell r="K237">
            <v>298.42000000000007</v>
          </cell>
        </row>
        <row r="238">
          <cell r="C238" t="str">
            <v>DE</v>
          </cell>
          <cell r="F238">
            <v>13895.8</v>
          </cell>
          <cell r="G238">
            <v>2084.37</v>
          </cell>
          <cell r="H238">
            <v>13895.8</v>
          </cell>
          <cell r="I238">
            <v>2084.37</v>
          </cell>
        </row>
        <row r="239">
          <cell r="C239" t="str">
            <v>AL</v>
          </cell>
          <cell r="F239">
            <v>49127.859999999993</v>
          </cell>
          <cell r="G239">
            <v>3635.5</v>
          </cell>
          <cell r="H239">
            <v>49127.859999999993</v>
          </cell>
          <cell r="I239">
            <v>3635.5</v>
          </cell>
        </row>
        <row r="240">
          <cell r="C240" t="str">
            <v>WI</v>
          </cell>
          <cell r="F240">
            <v>72445.67</v>
          </cell>
          <cell r="G240">
            <v>5461.6</v>
          </cell>
          <cell r="H240">
            <v>72445.67</v>
          </cell>
          <cell r="I240">
            <v>5461.6</v>
          </cell>
        </row>
        <row r="241">
          <cell r="C241" t="str">
            <v>MO</v>
          </cell>
          <cell r="F241">
            <v>80518.47</v>
          </cell>
          <cell r="G241">
            <v>4502.46</v>
          </cell>
          <cell r="H241">
            <v>80518.47</v>
          </cell>
          <cell r="I241">
            <v>4502.46</v>
          </cell>
        </row>
        <row r="242">
          <cell r="C242" t="str">
            <v>CA</v>
          </cell>
          <cell r="F242">
            <v>195034.63</v>
          </cell>
          <cell r="G242">
            <v>28815.119999999999</v>
          </cell>
          <cell r="H242">
            <v>195034.63</v>
          </cell>
          <cell r="I242">
            <v>28815.119999999999</v>
          </cell>
        </row>
        <row r="243">
          <cell r="C243" t="str">
            <v>ME</v>
          </cell>
          <cell r="F243">
            <v>10684.08</v>
          </cell>
          <cell r="G243">
            <v>3345</v>
          </cell>
          <cell r="H243">
            <v>10684.08</v>
          </cell>
          <cell r="I243">
            <v>1602.61</v>
          </cell>
          <cell r="K243">
            <v>1742.39</v>
          </cell>
        </row>
        <row r="244">
          <cell r="C244" t="str">
            <v>NH</v>
          </cell>
          <cell r="F244">
            <v>34806.76</v>
          </cell>
          <cell r="G244">
            <v>1932.05</v>
          </cell>
          <cell r="H244">
            <v>34806.76</v>
          </cell>
          <cell r="I244">
            <v>1932.05</v>
          </cell>
        </row>
        <row r="245">
          <cell r="C245" t="str">
            <v>DC</v>
          </cell>
          <cell r="F245">
            <v>17465.46</v>
          </cell>
          <cell r="G245">
            <v>250</v>
          </cell>
          <cell r="H245">
            <v>17465.46</v>
          </cell>
          <cell r="I245">
            <v>250</v>
          </cell>
        </row>
        <row r="246">
          <cell r="C246" t="str">
            <v>AK</v>
          </cell>
          <cell r="F246">
            <v>596.86</v>
          </cell>
          <cell r="G246">
            <v>89.53</v>
          </cell>
          <cell r="H246">
            <v>596.86</v>
          </cell>
          <cell r="I246">
            <v>89.53</v>
          </cell>
        </row>
        <row r="247">
          <cell r="C247" t="str">
            <v>PA</v>
          </cell>
          <cell r="F247">
            <v>99383.29</v>
          </cell>
          <cell r="G247">
            <v>15303.59</v>
          </cell>
          <cell r="H247">
            <v>99383.29</v>
          </cell>
          <cell r="I247">
            <v>14907.49</v>
          </cell>
          <cell r="K247">
            <v>396.10000000000036</v>
          </cell>
        </row>
        <row r="248">
          <cell r="C248" t="str">
            <v>NJ</v>
          </cell>
          <cell r="F248">
            <v>106909.17</v>
          </cell>
          <cell r="G248">
            <v>15976.19</v>
          </cell>
          <cell r="H248">
            <v>106909.17</v>
          </cell>
          <cell r="I248">
            <v>15976.19</v>
          </cell>
        </row>
        <row r="249">
          <cell r="C249" t="str">
            <v>ND</v>
          </cell>
          <cell r="F249">
            <v>2993.8</v>
          </cell>
          <cell r="G249">
            <v>782</v>
          </cell>
          <cell r="H249">
            <v>2993.8</v>
          </cell>
          <cell r="I249">
            <v>782</v>
          </cell>
        </row>
        <row r="250">
          <cell r="C250" t="str">
            <v>WA</v>
          </cell>
          <cell r="F250">
            <v>88527.61</v>
          </cell>
          <cell r="G250">
            <v>15551.12</v>
          </cell>
          <cell r="H250">
            <v>88527.61</v>
          </cell>
          <cell r="I250">
            <v>15551.12</v>
          </cell>
        </row>
        <row r="251">
          <cell r="C251" t="str">
            <v>GA</v>
          </cell>
          <cell r="F251">
            <v>86358.319999999992</v>
          </cell>
          <cell r="G251">
            <v>4856.38</v>
          </cell>
          <cell r="H251">
            <v>86358.319999999992</v>
          </cell>
          <cell r="I251">
            <v>4856.38</v>
          </cell>
        </row>
        <row r="252">
          <cell r="C252" t="str">
            <v>TN</v>
          </cell>
          <cell r="F252">
            <v>4671.68</v>
          </cell>
          <cell r="G252">
            <v>700.75</v>
          </cell>
          <cell r="H252">
            <v>4671.68</v>
          </cell>
          <cell r="I252">
            <v>700.75</v>
          </cell>
        </row>
        <row r="253">
          <cell r="C253" t="str">
            <v>ID</v>
          </cell>
          <cell r="F253">
            <v>16370.41</v>
          </cell>
          <cell r="G253">
            <v>2455.5500000000002</v>
          </cell>
          <cell r="H253">
            <v>16370.41</v>
          </cell>
          <cell r="I253">
            <v>2455.5500000000002</v>
          </cell>
        </row>
        <row r="254">
          <cell r="C254" t="str">
            <v>WY</v>
          </cell>
          <cell r="F254">
            <v>15042.41</v>
          </cell>
          <cell r="G254">
            <v>-246.96</v>
          </cell>
          <cell r="H254">
            <v>15042.41</v>
          </cell>
          <cell r="I254">
            <v>-246.96</v>
          </cell>
        </row>
        <row r="255">
          <cell r="C255" t="str">
            <v>TN</v>
          </cell>
          <cell r="F255">
            <v>44481.97</v>
          </cell>
          <cell r="G255">
            <v>17508.84</v>
          </cell>
          <cell r="H255">
            <v>44481.97</v>
          </cell>
          <cell r="I255">
            <v>6672.2955000000002</v>
          </cell>
          <cell r="K255">
            <v>10836.5445</v>
          </cell>
        </row>
        <row r="261">
          <cell r="F261">
            <v>7488859.0410000021</v>
          </cell>
          <cell r="G261">
            <v>1509129.080000001</v>
          </cell>
          <cell r="H261">
            <v>7463868.7710000016</v>
          </cell>
          <cell r="I261">
            <v>1048918.9714999998</v>
          </cell>
          <cell r="J261">
            <v>27495.99</v>
          </cell>
          <cell r="K261">
            <v>457364.23349999991</v>
          </cell>
          <cell r="L261">
            <v>0</v>
          </cell>
        </row>
        <row r="262">
          <cell r="C262" t="str">
            <v>NO</v>
          </cell>
          <cell r="F262">
            <v>100968.47</v>
          </cell>
          <cell r="G262">
            <v>0</v>
          </cell>
          <cell r="H262">
            <v>100968.47</v>
          </cell>
          <cell r="I262">
            <v>0</v>
          </cell>
        </row>
        <row r="263">
          <cell r="C263" t="str">
            <v>NO</v>
          </cell>
          <cell r="F263">
            <v>113697.38</v>
          </cell>
          <cell r="G263">
            <v>0</v>
          </cell>
          <cell r="H263">
            <v>113697.38</v>
          </cell>
          <cell r="I263">
            <v>0</v>
          </cell>
        </row>
        <row r="264">
          <cell r="C264" t="str">
            <v>NO</v>
          </cell>
          <cell r="F264">
            <v>109762.95</v>
          </cell>
          <cell r="G264">
            <v>0</v>
          </cell>
          <cell r="H264">
            <v>109762.95</v>
          </cell>
        </row>
        <row r="265">
          <cell r="C265" t="str">
            <v>NO</v>
          </cell>
          <cell r="F265">
            <v>175571.20000000001</v>
          </cell>
          <cell r="H265">
            <v>175571.20000000001</v>
          </cell>
        </row>
        <row r="266">
          <cell r="F266">
            <v>500000</v>
          </cell>
          <cell r="G266">
            <v>0</v>
          </cell>
          <cell r="H266">
            <v>500000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7988859.0410000021</v>
          </cell>
          <cell r="G267">
            <v>1509129.080000001</v>
          </cell>
          <cell r="H267">
            <v>7963868.7710000016</v>
          </cell>
          <cell r="I267">
            <v>1048918.9714999998</v>
          </cell>
          <cell r="J267">
            <v>27495.99</v>
          </cell>
          <cell r="K267">
            <v>457364.23349999991</v>
          </cell>
          <cell r="L267">
            <v>0</v>
          </cell>
        </row>
        <row r="268">
          <cell r="H268">
            <v>423.12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9"/>
  <sheetViews>
    <sheetView workbookViewId="0">
      <selection sqref="A1:XFD1048576"/>
    </sheetView>
  </sheetViews>
  <sheetFormatPr defaultRowHeight="15" x14ac:dyDescent="0.25"/>
  <cols>
    <col min="1" max="1" width="77.42578125" bestFit="1" customWidth="1"/>
    <col min="2" max="2" width="5.5703125" style="35" bestFit="1" customWidth="1"/>
    <col min="3" max="3" width="20" style="36" customWidth="1"/>
    <col min="4" max="4" width="15.140625" style="36" customWidth="1"/>
    <col min="5" max="5" width="14.42578125" style="36" customWidth="1"/>
    <col min="6" max="6" width="13.5703125" style="37" customWidth="1"/>
    <col min="7" max="7" width="14.7109375" style="37" customWidth="1"/>
    <col min="8" max="8" width="18.7109375" style="36" customWidth="1"/>
    <col min="9" max="10" width="14.28515625" style="36" customWidth="1"/>
    <col min="11" max="12" width="14.28515625" style="36" hidden="1" customWidth="1"/>
    <col min="13" max="13" width="14.28515625" style="36" customWidth="1"/>
    <col min="14" max="15" width="14.5703125" style="36" customWidth="1"/>
    <col min="16" max="16" width="14.28515625" style="36" customWidth="1"/>
    <col min="17" max="17" width="12.5703125" style="40" bestFit="1" customWidth="1"/>
    <col min="18" max="18" width="13.42578125" customWidth="1"/>
    <col min="19" max="19" width="14.28515625" bestFit="1" customWidth="1"/>
  </cols>
  <sheetData>
    <row r="1" spans="1:19" ht="12.75" customHeight="1" thickTop="1" x14ac:dyDescent="0.25">
      <c r="A1" s="138" t="str">
        <f>[1]Detail!A1</f>
        <v>Requests Received As Of 02/28/2017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N1" s="139"/>
      <c r="O1" s="139"/>
      <c r="P1" s="139"/>
      <c r="Q1" s="141"/>
    </row>
    <row r="2" spans="1:19" ht="15" customHeight="1" x14ac:dyDescent="0.25">
      <c r="A2" s="142" t="s">
        <v>0</v>
      </c>
      <c r="B2" s="144" t="s">
        <v>1</v>
      </c>
      <c r="C2" s="146" t="s">
        <v>2</v>
      </c>
      <c r="D2" s="148" t="s">
        <v>3</v>
      </c>
      <c r="E2" s="148"/>
      <c r="F2" s="149" t="s">
        <v>4</v>
      </c>
      <c r="G2" s="149" t="s">
        <v>5</v>
      </c>
      <c r="H2" s="152" t="s">
        <v>6</v>
      </c>
      <c r="I2" s="153"/>
      <c r="J2" s="154"/>
      <c r="K2" s="152" t="s">
        <v>7</v>
      </c>
      <c r="L2" s="155"/>
      <c r="M2" s="1" t="s">
        <v>8</v>
      </c>
      <c r="N2" s="154" t="s">
        <v>9</v>
      </c>
      <c r="O2" s="156"/>
      <c r="P2" s="134" t="s">
        <v>10</v>
      </c>
      <c r="Q2" s="136" t="s">
        <v>11</v>
      </c>
    </row>
    <row r="3" spans="1:19" ht="29.25" customHeight="1" thickBot="1" x14ac:dyDescent="0.3">
      <c r="A3" s="143"/>
      <c r="B3" s="145"/>
      <c r="C3" s="147"/>
      <c r="D3" s="2" t="s">
        <v>12</v>
      </c>
      <c r="E3" s="3" t="s">
        <v>13</v>
      </c>
      <c r="F3" s="150"/>
      <c r="G3" s="151"/>
      <c r="H3" s="3" t="s">
        <v>12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  <c r="P3" s="135"/>
      <c r="Q3" s="137"/>
    </row>
    <row r="4" spans="1:19" s="12" customFormat="1" ht="15.75" thickTop="1" x14ac:dyDescent="0.25">
      <c r="A4" s="4" t="s">
        <v>21</v>
      </c>
      <c r="B4" s="5" t="s">
        <v>22</v>
      </c>
      <c r="C4" s="6">
        <f>65648-26600</f>
        <v>39048</v>
      </c>
      <c r="D4" s="7">
        <f>SUMIF([1]Detail!$C$4:$C$461,[1]Summary!$B4,[1]Detail!$F$4:$F$461)</f>
        <v>33787.660000000003</v>
      </c>
      <c r="E4" s="7">
        <f>SUMIF([1]Detail!$C$4:$C$461,[1]Summary!$B4,[1]Detail!$G$4:$G$461)</f>
        <v>6260.39</v>
      </c>
      <c r="F4" s="8">
        <f>(SUM($D4:$E4)/$C4)</f>
        <v>1.0256107867240321</v>
      </c>
      <c r="G4" s="9">
        <f>SUM(C4-J4)</f>
        <v>192.53049999999348</v>
      </c>
      <c r="H4" s="7">
        <f>SUMIF([1]Detail!$C$4:$C$461,[1]Summary!$B4,[1]Detail!$H$4:$H$461)</f>
        <v>33787.660000000003</v>
      </c>
      <c r="I4" s="7">
        <f>SUMIF([1]Detail!$C$4:$C$461,[1]Summary!$B4,[1]Detail!$I$4:$I$461)</f>
        <v>5067.8095000000003</v>
      </c>
      <c r="J4" s="7">
        <f>SUM(H4+I4)</f>
        <v>38855.469500000007</v>
      </c>
      <c r="K4" s="7">
        <f>SUM(H4*0.15)</f>
        <v>5068.1490000000003</v>
      </c>
      <c r="L4" s="7">
        <f>SUM(K4-I4)</f>
        <v>0.33950000000004366</v>
      </c>
      <c r="M4" s="7">
        <f>SUMIF([1]Detail!$C$4:$C$461,[1]Summary!$B4,[1]Detail!$J$4:$J$461)</f>
        <v>0</v>
      </c>
      <c r="N4" s="7">
        <f>SUMIF([1]Detail!$C$4:$C$461,[1]Summary!$B4,[1]Detail!$K$4:$K$461)</f>
        <v>1192.5805</v>
      </c>
      <c r="O4" s="7">
        <f>SUMIF([1]Detail!$C$4:$C$461,[1]Summary!$B4,[1]Detail!$L$4:$L$461)</f>
        <v>0</v>
      </c>
      <c r="P4" s="7">
        <f>SUMIF([1]Detail!$C$4:$C$255, [1]Summary!$B4, [1]Detail!$M$4:$M$255)</f>
        <v>0</v>
      </c>
      <c r="Q4" s="10">
        <f>SUMIF([1]Detail!$C$4:$C$255, [1]Summary!$B4, [1]Detail!$N$4:$N$255)</f>
        <v>0</v>
      </c>
      <c r="R4" s="11">
        <f>(D4+E4)-H4-I4-M4-N4-O4-P4-Q4</f>
        <v>-9.0949470177292824E-13</v>
      </c>
      <c r="S4" s="11"/>
    </row>
    <row r="5" spans="1:19" s="12" customFormat="1" x14ac:dyDescent="0.25">
      <c r="A5" s="13" t="s">
        <v>23</v>
      </c>
      <c r="B5" s="14" t="s">
        <v>24</v>
      </c>
      <c r="C5" s="6">
        <f>152998+10000</f>
        <v>162998</v>
      </c>
      <c r="D5" s="7">
        <f>SUMIF([1]Detail!$C$4:$C$461,[1]Summary!$B5,[1]Detail!$F$4:$F$461)</f>
        <v>149557.82999999999</v>
      </c>
      <c r="E5" s="7">
        <f>SUMIF([1]Detail!$C$4:$C$461,[1]Summary!$B5,[1]Detail!$G$4:$G$461)</f>
        <v>13093.93</v>
      </c>
      <c r="F5" s="8">
        <f t="shared" ref="F5:F58" si="0">(SUM($D5:$E5)/$C5)</f>
        <v>0.9978758021570816</v>
      </c>
      <c r="G5" s="9">
        <f t="shared" ref="G5:G58" si="1">SUM(C5-J5)</f>
        <v>346.24000000001979</v>
      </c>
      <c r="H5" s="7">
        <f>SUMIF([1]Detail!$C$4:$C$461,[1]Summary!$B5,[1]Detail!$H$4:$H$461)</f>
        <v>149557.82999999999</v>
      </c>
      <c r="I5" s="7">
        <f>SUMIF([1]Detail!$C$4:$C$461,[1]Summary!$B5,[1]Detail!$I$4:$I$461)</f>
        <v>13093.93</v>
      </c>
      <c r="J5" s="7">
        <f>SUM(H5+I5)</f>
        <v>162651.75999999998</v>
      </c>
      <c r="K5" s="7">
        <f t="shared" ref="K5:K56" si="2">SUM(H5*0.15)</f>
        <v>22433.674499999997</v>
      </c>
      <c r="L5" s="7">
        <f t="shared" ref="L5:L56" si="3">SUM(K5-I5)</f>
        <v>9339.7444999999971</v>
      </c>
      <c r="M5" s="7">
        <f>SUMIF([1]Detail!$C$4:$C$461,[1]Summary!$B5,[1]Detail!$J$4:$J$461)</f>
        <v>0</v>
      </c>
      <c r="N5" s="7">
        <f>SUMIF([1]Detail!$C$4:$C$461,[1]Summary!$B5,[1]Detail!$K$4:$K$461)</f>
        <v>0</v>
      </c>
      <c r="O5" s="7">
        <f>SUMIF([1]Detail!$C$4:$C$461,[1]Summary!$B5,[1]Detail!$L$4:$L$461)</f>
        <v>0</v>
      </c>
      <c r="P5" s="7">
        <f>SUMIF([1]Detail!$C$4:$C$255, [1]Summary!$B5, [1]Detail!$M$4:$M$255)</f>
        <v>0</v>
      </c>
      <c r="Q5" s="10">
        <f>SUMIF([1]Detail!$C$4:$C$255, [1]Summary!$B5, [1]Detail!$N$4:$N$255)</f>
        <v>0</v>
      </c>
      <c r="R5" s="11">
        <f t="shared" ref="R5:R56" si="4">(D5+E5)-H5-I5-M5-N5-O5-P5-Q5</f>
        <v>-7.2759576141834259E-12</v>
      </c>
      <c r="S5" s="11"/>
    </row>
    <row r="6" spans="1:19" x14ac:dyDescent="0.25">
      <c r="A6" s="15" t="s">
        <v>25</v>
      </c>
      <c r="B6" s="14" t="s">
        <v>26</v>
      </c>
      <c r="C6" s="6">
        <f>73004+19000+7600</f>
        <v>99604</v>
      </c>
      <c r="D6" s="7">
        <f>SUMIF([1]Detail!$C$4:$C$461,[1]Summary!$B6,[1]Detail!$F$4:$F$461)</f>
        <v>86567.25</v>
      </c>
      <c r="E6" s="7">
        <f>SUMIF([1]Detail!$C$4:$C$461,[1]Summary!$B6,[1]Detail!$G$4:$G$461)</f>
        <v>13112.73</v>
      </c>
      <c r="F6" s="8">
        <f t="shared" si="0"/>
        <v>1.0007628207702501</v>
      </c>
      <c r="G6" s="9">
        <f t="shared" si="1"/>
        <v>51.660000000003492</v>
      </c>
      <c r="H6" s="7">
        <f>SUMIF([1]Detail!$C$4:$C$461,[1]Summary!$B6,[1]Detail!$H$4:$H$461)</f>
        <v>86567.25</v>
      </c>
      <c r="I6" s="7">
        <f>SUMIF([1]Detail!$C$4:$C$461,[1]Summary!$B6,[1]Detail!$I$4:$I$461)</f>
        <v>12985.09</v>
      </c>
      <c r="J6" s="7">
        <f t="shared" ref="J6:J60" si="5">SUM(H6+I6)</f>
        <v>99552.34</v>
      </c>
      <c r="K6" s="7">
        <f t="shared" si="2"/>
        <v>12985.0875</v>
      </c>
      <c r="L6" s="7">
        <f t="shared" si="3"/>
        <v>-2.500000000509317E-3</v>
      </c>
      <c r="M6" s="7">
        <f>SUMIF([1]Detail!$C$4:$C$461,[1]Summary!$B6,[1]Detail!$J$4:$J$461)</f>
        <v>0</v>
      </c>
      <c r="N6" s="7">
        <f>SUMIF([1]Detail!$C$4:$C$461,[1]Summary!$B6,[1]Detail!$K$4:$K$461)</f>
        <v>127.63999999999987</v>
      </c>
      <c r="O6" s="7">
        <f>SUMIF([1]Detail!$C$4:$C$461,[1]Summary!$B6,[1]Detail!$L$4:$L$461)</f>
        <v>0</v>
      </c>
      <c r="P6" s="7">
        <f>SUMIF([1]Detail!$C$4:$C$255, [1]Summary!$B6, [1]Detail!$M$4:$M$255)</f>
        <v>0</v>
      </c>
      <c r="Q6" s="10">
        <f>SUMIF([1]Detail!$C$4:$C$255, [1]Summary!$B6, [1]Detail!$N$4:$N$255)</f>
        <v>0</v>
      </c>
      <c r="R6" s="11">
        <f t="shared" si="4"/>
        <v>-4.0927261579781771E-12</v>
      </c>
      <c r="S6" s="11"/>
    </row>
    <row r="7" spans="1:19" x14ac:dyDescent="0.25">
      <c r="A7" s="13" t="s">
        <v>25</v>
      </c>
      <c r="B7" s="14" t="s">
        <v>27</v>
      </c>
      <c r="C7" s="6">
        <f>192974+15000-400</f>
        <v>207574</v>
      </c>
      <c r="D7" s="7">
        <f>SUMIF([1]Detail!$C$4:$C$461,[1]Summary!$B7,[1]Detail!$F$4:$F$461)</f>
        <v>180490.23999999999</v>
      </c>
      <c r="E7" s="7">
        <f>SUMIF([1]Detail!$C$4:$C$461,[1]Summary!$B7,[1]Detail!$G$4:$G$461)</f>
        <v>27083.270000000004</v>
      </c>
      <c r="F7" s="8">
        <f t="shared" si="0"/>
        <v>0.99999763939607089</v>
      </c>
      <c r="G7" s="9">
        <f t="shared" si="1"/>
        <v>10.179999999993015</v>
      </c>
      <c r="H7" s="7">
        <f>SUMIF([1]Detail!$C$4:$C$461,[1]Summary!$B7,[1]Detail!$H$4:$H$461)</f>
        <v>180490.23999999999</v>
      </c>
      <c r="I7" s="7">
        <f>SUMIF([1]Detail!$C$4:$C$461,[1]Summary!$B7,[1]Detail!$I$4:$I$461)</f>
        <v>27073.58</v>
      </c>
      <c r="J7" s="7">
        <f>SUM(H7+I7)</f>
        <v>207563.82</v>
      </c>
      <c r="K7" s="7">
        <f t="shared" si="2"/>
        <v>27073.535999999996</v>
      </c>
      <c r="L7" s="7">
        <f t="shared" si="3"/>
        <v>-4.4000000005326001E-2</v>
      </c>
      <c r="M7" s="7">
        <f>SUMIF([1]Detail!$C$4:$C$461,[1]Summary!$B7,[1]Detail!$J$4:$J$461)</f>
        <v>0</v>
      </c>
      <c r="N7" s="7">
        <v>9.69</v>
      </c>
      <c r="O7" s="7">
        <f>SUMIF([1]Detail!$C$4:$C$461,[1]Summary!$B7,[1]Detail!$L$4:$L$461)</f>
        <v>0</v>
      </c>
      <c r="P7" s="7">
        <f>SUMIF([1]Detail!$C$4:$C$255, [1]Summary!$B7, [1]Detail!$M$4:$M$255)</f>
        <v>0</v>
      </c>
      <c r="Q7" s="10">
        <f>SUMIF([1]Detail!$C$4:$C$255, [1]Summary!$B7, [1]Detail!$N$4:$N$255)</f>
        <v>0</v>
      </c>
      <c r="R7" s="11">
        <f t="shared" si="4"/>
        <v>1.688071904482058E-11</v>
      </c>
      <c r="S7" s="11"/>
    </row>
    <row r="8" spans="1:19" x14ac:dyDescent="0.25">
      <c r="A8" s="15" t="s">
        <v>28</v>
      </c>
      <c r="B8" s="14" t="s">
        <v>29</v>
      </c>
      <c r="C8" s="6">
        <f>874147+40000+20000+5000</f>
        <v>939147</v>
      </c>
      <c r="D8" s="7">
        <f>SUMIF([1]Detail!$C$4:$C$461,[1]Summary!$B8,[1]Detail!$F$4:$F$461)</f>
        <v>818067.88</v>
      </c>
      <c r="E8" s="7">
        <f>SUMIF([1]Detail!$C$4:$C$461,[1]Summary!$B8,[1]Detail!$G$4:$G$461)</f>
        <v>121083.04999999999</v>
      </c>
      <c r="F8" s="8">
        <f t="shared" si="0"/>
        <v>1.0000041846484096</v>
      </c>
      <c r="G8" s="9">
        <f t="shared" si="1"/>
        <v>176.07000000006519</v>
      </c>
      <c r="H8" s="7">
        <f>SUMIF([1]Detail!$C$4:$C$461,[1]Summary!$B8,[1]Detail!$H$4:$H$461)</f>
        <v>817887.88</v>
      </c>
      <c r="I8" s="7">
        <f>SUMIF([1]Detail!$C$4:$C$461,[1]Summary!$B8,[1]Detail!$I$4:$I$461)</f>
        <v>121083.04999999999</v>
      </c>
      <c r="J8" s="7">
        <f t="shared" si="5"/>
        <v>938970.92999999993</v>
      </c>
      <c r="K8" s="7">
        <f t="shared" si="2"/>
        <v>122683.182</v>
      </c>
      <c r="L8" s="7">
        <f t="shared" si="3"/>
        <v>1600.1320000000123</v>
      </c>
      <c r="M8" s="7">
        <f>SUMIF([1]Detail!$C$4:$C$461,[1]Summary!$B8,[1]Detail!$J$4:$J$461)</f>
        <v>0</v>
      </c>
      <c r="N8" s="7">
        <f>SUMIF([1]Detail!$C$4:$C$461,[1]Summary!$B8,[1]Detail!$K$4:$K$461)</f>
        <v>0</v>
      </c>
      <c r="O8" s="7">
        <f>SUMIF([1]Detail!$C$4:$C$461,[1]Summary!$B8,[1]Detail!$L$4:$L$461)</f>
        <v>0</v>
      </c>
      <c r="P8" s="7">
        <f>SUMIF([1]Detail!$C$4:$C$255, [1]Summary!$B8, [1]Detail!$M$4:$M$255)</f>
        <v>0</v>
      </c>
      <c r="Q8" s="10">
        <f>SUMIF([1]Detail!$C$4:$C$255, [1]Summary!$B8, [1]Detail!$N$4:$N$255)</f>
        <v>180</v>
      </c>
      <c r="R8" s="11">
        <f t="shared" si="4"/>
        <v>-5.8207660913467407E-11</v>
      </c>
      <c r="S8" s="11"/>
    </row>
    <row r="9" spans="1:19" x14ac:dyDescent="0.25">
      <c r="A9" s="15" t="s">
        <v>30</v>
      </c>
      <c r="B9" s="14" t="s">
        <v>31</v>
      </c>
      <c r="C9" s="6">
        <f>163756+12000</f>
        <v>175756</v>
      </c>
      <c r="D9" s="7">
        <f>SUMIF([1]Detail!$C$4:$C$461,[1]Summary!$B9,[1]Detail!$F$4:$F$461)</f>
        <v>150795.37</v>
      </c>
      <c r="E9" s="7">
        <f>SUMIF([1]Detail!$C$4:$C$461,[1]Summary!$B9,[1]Detail!$G$4:$G$461)</f>
        <v>23778.77</v>
      </c>
      <c r="F9" s="8">
        <f>(SUM($D9:$E9)/$C9)</f>
        <v>0.99327556384988269</v>
      </c>
      <c r="G9" s="9">
        <f t="shared" si="1"/>
        <v>2341.3300000000163</v>
      </c>
      <c r="H9" s="7">
        <f>SUMIF([1]Detail!$C$4:$C$461,[1]Summary!$B9,[1]Detail!$H$4:$H$461)</f>
        <v>150795.37</v>
      </c>
      <c r="I9" s="7">
        <f>SUMIF([1]Detail!$C$4:$C$461,[1]Summary!$B9,[1]Detail!$I$4:$I$461)</f>
        <v>22619.3</v>
      </c>
      <c r="J9" s="7">
        <f t="shared" si="5"/>
        <v>173414.66999999998</v>
      </c>
      <c r="K9" s="7">
        <f t="shared" si="2"/>
        <v>22619.305499999999</v>
      </c>
      <c r="L9" s="7">
        <f t="shared" si="3"/>
        <v>5.4999999993015081E-3</v>
      </c>
      <c r="M9" s="7">
        <f>SUMIF([1]Detail!$C$4:$C$461,[1]Summary!$B9,[1]Detail!$J$4:$J$461)</f>
        <v>0</v>
      </c>
      <c r="N9" s="7">
        <f>SUMIF([1]Detail!$C$4:$C$461,[1]Summary!$B9,[1]Detail!$K$4:$K$461)</f>
        <v>1159.4699999999993</v>
      </c>
      <c r="O9" s="7">
        <f>SUMIF([1]Detail!$C$4:$C$461,[1]Summary!$B9,[1]Detail!$L$4:$L$461)</f>
        <v>0</v>
      </c>
      <c r="P9" s="7">
        <f>SUMIF([1]Detail!$C$4:$C$255, [1]Summary!$B9, [1]Detail!$M$4:$M$255)</f>
        <v>0</v>
      </c>
      <c r="Q9" s="10">
        <f>SUMIF([1]Detail!$C$4:$C$255, [1]Summary!$B9, [1]Detail!$N$4:$N$255)</f>
        <v>0</v>
      </c>
      <c r="R9" s="11">
        <f t="shared" si="4"/>
        <v>-9.0949470177292824E-12</v>
      </c>
      <c r="S9" s="11"/>
    </row>
    <row r="10" spans="1:19" x14ac:dyDescent="0.25">
      <c r="A10" s="15" t="s">
        <v>32</v>
      </c>
      <c r="B10" s="14" t="s">
        <v>33</v>
      </c>
      <c r="C10" s="6">
        <v>96392</v>
      </c>
      <c r="D10" s="7">
        <f>SUMIF([1]Detail!$C$4:$C$461,[1]Summary!$B10,[1]Detail!$F$4:$F$461)</f>
        <v>79255.05</v>
      </c>
      <c r="E10" s="7">
        <f>SUMIF([1]Detail!$C$4:$C$461,[1]Summary!$B10,[1]Detail!$G$4:$G$461)</f>
        <v>11999.630000000001</v>
      </c>
      <c r="F10" s="8">
        <f t="shared" si="0"/>
        <v>0.94670387584031879</v>
      </c>
      <c r="G10" s="9">
        <f t="shared" si="1"/>
        <v>5248.6900000000023</v>
      </c>
      <c r="H10" s="7">
        <f>SUMIF([1]Detail!$C$4:$C$461,[1]Summary!$B10,[1]Detail!$H$4:$H$461)</f>
        <v>79255.05</v>
      </c>
      <c r="I10" s="7">
        <f>SUMIF([1]Detail!$C$4:$C$461,[1]Summary!$B10,[1]Detail!$I$4:$I$461)</f>
        <v>11888.26</v>
      </c>
      <c r="J10" s="7">
        <f>SUM(H10+I10)</f>
        <v>91143.31</v>
      </c>
      <c r="K10" s="7">
        <f t="shared" si="2"/>
        <v>11888.2575</v>
      </c>
      <c r="L10" s="7">
        <f t="shared" si="3"/>
        <v>-2.500000000509317E-3</v>
      </c>
      <c r="M10" s="7">
        <f>SUMIF([1]Detail!$C$4:$C$461,[1]Summary!$B10,[1]Detail!$J$4:$J$461)</f>
        <v>0</v>
      </c>
      <c r="N10" s="7">
        <v>111.37</v>
      </c>
      <c r="O10" s="7">
        <f>SUMIF([1]Detail!$C$4:$C$461,[1]Summary!$B10,[1]Detail!$L$4:$L$461)</f>
        <v>0</v>
      </c>
      <c r="P10" s="7">
        <f>SUMIF([1]Detail!$C$4:$C$255, [1]Summary!$B10, [1]Detail!$M$4:$M$255)</f>
        <v>0</v>
      </c>
      <c r="Q10" s="10">
        <f>SUMIF([1]Detail!$C$4:$C$255, [1]Summary!$B10, [1]Detail!$N$4:$N$255)</f>
        <v>0</v>
      </c>
      <c r="R10" s="11">
        <f t="shared" si="4"/>
        <v>4.4337866711430252E-12</v>
      </c>
      <c r="S10" s="11"/>
    </row>
    <row r="11" spans="1:19" x14ac:dyDescent="0.25">
      <c r="A11" s="15" t="s">
        <v>34</v>
      </c>
      <c r="B11" s="14" t="s">
        <v>35</v>
      </c>
      <c r="C11" s="6">
        <f>63995-25300+14700</f>
        <v>53395</v>
      </c>
      <c r="D11" s="7">
        <f>SUMIF([1]Detail!$C$4:$C$461,[1]Summary!$B11,[1]Detail!$F$4:$F$461)</f>
        <v>51147.189999999995</v>
      </c>
      <c r="E11" s="7">
        <f>SUMIF([1]Detail!$C$4:$C$461,[1]Summary!$B11,[1]Detail!$G$4:$G$461)</f>
        <v>2369.6099999999997</v>
      </c>
      <c r="F11" s="8">
        <f t="shared" si="0"/>
        <v>1.0022811124637137</v>
      </c>
      <c r="G11" s="9">
        <f t="shared" si="1"/>
        <v>42.150000000008731</v>
      </c>
      <c r="H11" s="7">
        <f>SUMIF([1]Detail!$C$4:$C$461,[1]Summary!$B11,[1]Detail!$H$4:$H$461)</f>
        <v>51147.189999999995</v>
      </c>
      <c r="I11" s="7">
        <f>SUMIF([1]Detail!$C$4:$C$461,[1]Summary!$B11,[1]Detail!$I$4:$I$461)</f>
        <v>2205.66</v>
      </c>
      <c r="J11" s="7">
        <f t="shared" si="5"/>
        <v>53352.849999999991</v>
      </c>
      <c r="K11" s="7">
        <f t="shared" si="2"/>
        <v>7672.0784999999987</v>
      </c>
      <c r="L11" s="7">
        <f t="shared" si="3"/>
        <v>5466.4184999999989</v>
      </c>
      <c r="M11" s="7">
        <f>SUMIF([1]Detail!$C$4:$C$461,[1]Summary!$B11,[1]Detail!$J$4:$J$461)</f>
        <v>0</v>
      </c>
      <c r="N11" s="7">
        <f>SUMIF([1]Detail!$C$4:$C$461,[1]Summary!$B11,[1]Detail!$K$4:$K$461)</f>
        <v>163.95</v>
      </c>
      <c r="O11" s="7">
        <f>SUMIF([1]Detail!$C$4:$C$461,[1]Summary!$B11,[1]Detail!$L$4:$L$461)</f>
        <v>0</v>
      </c>
      <c r="P11" s="7">
        <f>SUMIF([1]Detail!$C$4:$C$255, [1]Summary!$B11, [1]Detail!$M$4:$M$255)</f>
        <v>0</v>
      </c>
      <c r="Q11" s="10">
        <f>SUMIF([1]Detail!$C$4:$C$255, [1]Summary!$B11, [1]Detail!$N$4:$N$255)</f>
        <v>0</v>
      </c>
      <c r="R11" s="11">
        <f t="shared" si="4"/>
        <v>7.3896444519050419E-13</v>
      </c>
      <c r="S11" s="11"/>
    </row>
    <row r="12" spans="1:19" s="12" customFormat="1" x14ac:dyDescent="0.25">
      <c r="A12" s="13" t="s">
        <v>36</v>
      </c>
      <c r="B12" s="14" t="s">
        <v>37</v>
      </c>
      <c r="C12" s="6">
        <f>69872-30000-18800</f>
        <v>21072</v>
      </c>
      <c r="D12" s="7">
        <f>SUMIF([1]Detail!$C$4:$C$461,[1]Summary!$B12,[1]Detail!$F$4:$F$461)</f>
        <v>18262.11</v>
      </c>
      <c r="E12" s="7">
        <f>SUMIF([1]Detail!$C$4:$C$461,[1]Summary!$B12,[1]Detail!$G$4:$G$461)</f>
        <v>2739.3199999999997</v>
      </c>
      <c r="F12" s="8">
        <f t="shared" si="0"/>
        <v>0.99665100607441159</v>
      </c>
      <c r="G12" s="9">
        <f t="shared" si="1"/>
        <v>70.569999999999709</v>
      </c>
      <c r="H12" s="7">
        <f>SUMIF([1]Detail!$C$4:$C$461,[1]Summary!$B12,[1]Detail!$H$4:$H$461)</f>
        <v>18262.11</v>
      </c>
      <c r="I12" s="7">
        <f>SUMIF([1]Detail!$C$4:$C$461,[1]Summary!$B12,[1]Detail!$I$4:$I$461)</f>
        <v>2739.3199999999997</v>
      </c>
      <c r="J12" s="7">
        <f t="shared" si="5"/>
        <v>21001.43</v>
      </c>
      <c r="K12" s="7">
        <f t="shared" si="2"/>
        <v>2739.3164999999999</v>
      </c>
      <c r="L12" s="7">
        <f t="shared" si="3"/>
        <v>-3.4999999998035491E-3</v>
      </c>
      <c r="M12" s="7">
        <f>SUMIF([1]Detail!$C$4:$C$461,[1]Summary!$B12,[1]Detail!$J$4:$J$461)</f>
        <v>0</v>
      </c>
      <c r="N12" s="7">
        <f>SUMIF([1]Detail!$C$4:$C$461,[1]Summary!$B12,[1]Detail!$K$4:$K$461)</f>
        <v>0</v>
      </c>
      <c r="O12" s="7">
        <f>SUMIF([1]Detail!$C$4:$C$461,[1]Summary!$B12,[1]Detail!$L$4:$L$461)</f>
        <v>0</v>
      </c>
      <c r="P12" s="7">
        <f>SUMIF([1]Detail!$C$4:$C$255, [1]Summary!$B12, [1]Detail!$M$4:$M$255)</f>
        <v>0</v>
      </c>
      <c r="Q12" s="10">
        <f>SUMIF([1]Detail!$C$4:$C$255, [1]Summary!$B12, [1]Detail!$N$4:$N$255)</f>
        <v>0</v>
      </c>
      <c r="R12" s="11">
        <f t="shared" si="4"/>
        <v>0</v>
      </c>
      <c r="S12" s="11"/>
    </row>
    <row r="13" spans="1:19" s="12" customFormat="1" x14ac:dyDescent="0.25">
      <c r="A13" s="13" t="s">
        <v>38</v>
      </c>
      <c r="B13" s="14" t="s">
        <v>39</v>
      </c>
      <c r="C13" s="6">
        <f>472524-214800</f>
        <v>257724</v>
      </c>
      <c r="D13" s="7">
        <f>SUMIF([1]Detail!$C$4:$C$461,[1]Summary!$B13,[1]Detail!$F$4:$F$461)</f>
        <v>154185.10999999999</v>
      </c>
      <c r="E13" s="7">
        <f>SUMIF([1]Detail!$C$4:$C$461,[1]Summary!$B13,[1]Detail!$G$4:$G$461)</f>
        <v>53215.82</v>
      </c>
      <c r="F13" s="8">
        <f t="shared" si="0"/>
        <v>0.80474045878536726</v>
      </c>
      <c r="G13" s="9">
        <f t="shared" si="1"/>
        <v>80411.13</v>
      </c>
      <c r="H13" s="7">
        <f>SUMIF([1]Detail!$C$4:$C$461,[1]Summary!$B13,[1]Detail!$H$4:$H$461)</f>
        <v>154185.10999999999</v>
      </c>
      <c r="I13" s="7">
        <f>SUMIF([1]Detail!$C$4:$C$461,[1]Summary!$B13,[1]Detail!$I$4:$I$461)</f>
        <v>23127.759999999998</v>
      </c>
      <c r="J13" s="7">
        <f t="shared" si="5"/>
        <v>177312.87</v>
      </c>
      <c r="K13" s="7">
        <f t="shared" si="2"/>
        <v>23127.766499999998</v>
      </c>
      <c r="L13" s="7">
        <f t="shared" si="3"/>
        <v>6.4999999995052349E-3</v>
      </c>
      <c r="M13" s="7">
        <f>SUMIF([1]Detail!$C$4:$C$461,[1]Summary!$B13,[1]Detail!$J$4:$J$461)</f>
        <v>0</v>
      </c>
      <c r="N13" s="7">
        <f>SUMIF([1]Detail!$C$4:$C$461,[1]Summary!$B13,[1]Detail!$K$4:$K$461)</f>
        <v>30088.06</v>
      </c>
      <c r="O13" s="7">
        <f>SUMIF([1]Detail!$C$4:$C$461,[1]Summary!$B13,[1]Detail!$L$4:$L$461)</f>
        <v>0</v>
      </c>
      <c r="P13" s="7">
        <f>SUMIF([1]Detail!$C$4:$C$255, [1]Summary!$B13, [1]Detail!$M$4:$M$255)</f>
        <v>0</v>
      </c>
      <c r="Q13" s="10">
        <f>SUMIF([1]Detail!$C$4:$C$255, [1]Summary!$B13, [1]Detail!$N$4:$N$255)</f>
        <v>0</v>
      </c>
      <c r="R13" s="11">
        <f t="shared" si="4"/>
        <v>7.2759576141834259E-12</v>
      </c>
      <c r="S13" s="11"/>
    </row>
    <row r="14" spans="1:19" s="12" customFormat="1" x14ac:dyDescent="0.25">
      <c r="A14" s="13" t="s">
        <v>40</v>
      </c>
      <c r="B14" s="14" t="s">
        <v>41</v>
      </c>
      <c r="C14" s="6">
        <f>264463+30000+50000+150000</f>
        <v>494463</v>
      </c>
      <c r="D14" s="7">
        <f>SUMIF([1]Detail!$C$4:$C$461,[1]Summary!$B14,[1]Detail!$F$4:$F$461)</f>
        <v>446872.16</v>
      </c>
      <c r="E14" s="7">
        <f>SUMIF([1]Detail!$C$4:$C$461,[1]Summary!$B14,[1]Detail!$G$4:$G$461)</f>
        <v>45866.04</v>
      </c>
      <c r="F14" s="8">
        <f t="shared" si="0"/>
        <v>0.99651177135599622</v>
      </c>
      <c r="G14" s="9">
        <f t="shared" si="1"/>
        <v>1724.7975000000442</v>
      </c>
      <c r="H14" s="7">
        <f>SUMIF([1]Detail!$C$4:$C$461,[1]Summary!$B14,[1]Detail!$H$4:$H$461)</f>
        <v>446872.16</v>
      </c>
      <c r="I14" s="7">
        <f>SUMIF([1]Detail!$C$4:$C$461,[1]Summary!$B14,[1]Detail!$I$4:$I$461)</f>
        <v>45866.042499999996</v>
      </c>
      <c r="J14" s="7">
        <f t="shared" si="5"/>
        <v>492738.20249999996</v>
      </c>
      <c r="K14" s="7">
        <f t="shared" si="2"/>
        <v>67030.823999999993</v>
      </c>
      <c r="L14" s="7">
        <f t="shared" si="3"/>
        <v>21164.781499999997</v>
      </c>
      <c r="M14" s="7">
        <f>SUMIF([1]Detail!$C$4:$C$461,[1]Summary!$B14,[1]Detail!$J$4:$J$461)</f>
        <v>0</v>
      </c>
      <c r="N14" s="7">
        <f>SUMIF([1]Detail!$C$4:$C$461,[1]Summary!$B14,[1]Detail!$K$4:$K$461)</f>
        <v>-2.500000000509317E-3</v>
      </c>
      <c r="O14" s="7">
        <f>SUMIF([1]Detail!$C$4:$C$461,[1]Summary!$B14,[1]Detail!$L$4:$L$461)</f>
        <v>0</v>
      </c>
      <c r="P14" s="7">
        <f>SUMIF([1]Detail!$C$4:$C$255, [1]Summary!$B14, [1]Detail!$M$4:$M$255)</f>
        <v>0</v>
      </c>
      <c r="Q14" s="10">
        <f>SUMIF([1]Detail!$C$4:$C$255, [1]Summary!$B14, [1]Detail!$N$4:$N$255)</f>
        <v>0</v>
      </c>
      <c r="R14" s="11">
        <f t="shared" si="4"/>
        <v>-1.6370904631912708E-11</v>
      </c>
      <c r="S14" s="11"/>
    </row>
    <row r="15" spans="1:19" x14ac:dyDescent="0.25">
      <c r="A15" s="15" t="s">
        <v>42</v>
      </c>
      <c r="B15" s="14" t="s">
        <v>43</v>
      </c>
      <c r="C15" s="6">
        <f>80151+10000+15000</f>
        <v>105151</v>
      </c>
      <c r="D15" s="7">
        <f>SUMIF([1]Detail!$C$4:$C$461,[1]Summary!$B15,[1]Detail!$F$4:$F$461)</f>
        <v>89953.63</v>
      </c>
      <c r="E15" s="7">
        <f>SUMIF([1]Detail!$C$4:$C$461,[1]Summary!$B15,[1]Detail!$G$4:$G$461)</f>
        <v>18733.96</v>
      </c>
      <c r="F15" s="8">
        <f t="shared" si="0"/>
        <v>1.0336334414318455</v>
      </c>
      <c r="G15" s="9">
        <f t="shared" si="1"/>
        <v>1704.3334999999934</v>
      </c>
      <c r="H15" s="7">
        <f>SUMIF([1]Detail!$C$4:$C$461,[1]Summary!$B15,[1]Detail!$H$4:$H$461)</f>
        <v>89953.63</v>
      </c>
      <c r="I15" s="7">
        <f>SUMIF([1]Detail!$C$4:$C$461,[1]Summary!$B15,[1]Detail!$I$4:$I$461)</f>
        <v>13493.0365</v>
      </c>
      <c r="J15" s="7">
        <f t="shared" si="5"/>
        <v>103446.66650000001</v>
      </c>
      <c r="K15" s="7">
        <f t="shared" si="2"/>
        <v>13493.0445</v>
      </c>
      <c r="L15" s="7">
        <f t="shared" si="3"/>
        <v>7.9999999998108251E-3</v>
      </c>
      <c r="M15" s="7">
        <f>SUMIF([1]Detail!$C$4:$C$461,[1]Summary!$B15,[1]Detail!$J$4:$J$461)</f>
        <v>0</v>
      </c>
      <c r="N15" s="7">
        <f>SUMIF([1]Detail!$C$4:$C$461,[1]Summary!$B15,[1]Detail!$K$4:$K$461)</f>
        <v>5240.923499999999</v>
      </c>
      <c r="O15" s="7">
        <f>SUMIF([1]Detail!$C$4:$C$461,[1]Summary!$B15,[1]Detail!$L$4:$L$461)</f>
        <v>0</v>
      </c>
      <c r="P15" s="7">
        <f>SUMIF([1]Detail!$C$4:$C$255, [1]Summary!$B15, [1]Detail!$M$4:$M$255)</f>
        <v>0</v>
      </c>
      <c r="Q15" s="10">
        <f>SUMIF([1]Detail!$C$4:$C$255, [1]Summary!$B15, [1]Detail!$N$4:$N$255)</f>
        <v>0</v>
      </c>
      <c r="R15" s="11">
        <f t="shared" si="4"/>
        <v>-7.2759576141834259E-12</v>
      </c>
      <c r="S15" s="11"/>
    </row>
    <row r="16" spans="1:19" x14ac:dyDescent="0.25">
      <c r="A16" s="13" t="s">
        <v>42</v>
      </c>
      <c r="B16" s="14" t="s">
        <v>44</v>
      </c>
      <c r="C16" s="6">
        <f>115994+70000+45000</f>
        <v>230994</v>
      </c>
      <c r="D16" s="7">
        <f>SUMIF([1]Detail!$C$4:$C$461,[1]Summary!$B16,[1]Detail!$F$4:$F$461)</f>
        <v>178656.7</v>
      </c>
      <c r="E16" s="7">
        <f>SUMIF([1]Detail!$C$4:$C$461,[1]Summary!$B16,[1]Detail!$G$4:$G$461)</f>
        <v>96789.31</v>
      </c>
      <c r="F16" s="8">
        <f t="shared" si="0"/>
        <v>1.1924379421110505</v>
      </c>
      <c r="G16" s="9">
        <f t="shared" si="1"/>
        <v>25538.790999999997</v>
      </c>
      <c r="H16" s="7">
        <f>SUMIF([1]Detail!$C$4:$C$461,[1]Summary!$B16,[1]Detail!$H$4:$H$461)</f>
        <v>178656.7</v>
      </c>
      <c r="I16" s="7">
        <f>SUMIF([1]Detail!$C$4:$C$461,[1]Summary!$B16,[1]Detail!$I$4:$I$461)</f>
        <v>26798.509000000002</v>
      </c>
      <c r="J16" s="7">
        <f t="shared" si="5"/>
        <v>205455.209</v>
      </c>
      <c r="K16" s="7">
        <f t="shared" si="2"/>
        <v>26798.505000000001</v>
      </c>
      <c r="L16" s="7">
        <f t="shared" si="3"/>
        <v>-4.0000000008149073E-3</v>
      </c>
      <c r="M16" s="7">
        <f>SUMIF([1]Detail!$C$4:$C$461,[1]Summary!$B16,[1]Detail!$J$4:$J$461)</f>
        <v>0</v>
      </c>
      <c r="N16" s="7">
        <f>SUMIF([1]Detail!$C$4:$C$461,[1]Summary!$B16,[1]Detail!$K$4:$K$461)</f>
        <v>69990.800999999992</v>
      </c>
      <c r="O16" s="7">
        <f>SUMIF([1]Detail!$C$4:$C$461,[1]Summary!$B16,[1]Detail!$L$4:$L$461)</f>
        <v>0</v>
      </c>
      <c r="P16" s="7">
        <f>SUMIF([1]Detail!$C$4:$C$255, [1]Summary!$B16, [1]Detail!$M$4:$M$255)</f>
        <v>0</v>
      </c>
      <c r="Q16" s="10">
        <f>SUMIF([1]Detail!$C$4:$C$255, [1]Summary!$B16, [1]Detail!$N$4:$N$255)</f>
        <v>0</v>
      </c>
      <c r="R16" s="11">
        <f t="shared" si="4"/>
        <v>0</v>
      </c>
      <c r="S16" s="11"/>
    </row>
    <row r="17" spans="1:19" s="12" customFormat="1" x14ac:dyDescent="0.25">
      <c r="A17" s="13" t="s">
        <v>45</v>
      </c>
      <c r="B17" s="14" t="s">
        <v>46</v>
      </c>
      <c r="C17" s="6">
        <f>84715-18600</f>
        <v>66115</v>
      </c>
      <c r="D17" s="7">
        <f>SUMIF([1]Detail!$C$4:$C$461,[1]Summary!$B17,[1]Detail!$F$4:$F$461)</f>
        <v>44036.67</v>
      </c>
      <c r="E17" s="7">
        <f>SUMIF([1]Detail!$C$4:$C$461,[1]Summary!$B17,[1]Detail!$G$4:$G$461)</f>
        <v>6605.4900000000007</v>
      </c>
      <c r="F17" s="8">
        <f t="shared" si="0"/>
        <v>0.76597080843983967</v>
      </c>
      <c r="G17" s="9">
        <f t="shared" si="1"/>
        <v>15472.849999999999</v>
      </c>
      <c r="H17" s="7">
        <f>SUMIF([1]Detail!$C$4:$C$461,[1]Summary!$B17,[1]Detail!$H$4:$H$461)</f>
        <v>44036.67</v>
      </c>
      <c r="I17" s="7">
        <f>SUMIF([1]Detail!$C$4:$C$461,[1]Summary!$B17,[1]Detail!$I$4:$I$461)</f>
        <v>6605.4800000000005</v>
      </c>
      <c r="J17" s="7">
        <f t="shared" si="5"/>
        <v>50642.15</v>
      </c>
      <c r="K17" s="7">
        <f t="shared" si="2"/>
        <v>6605.5004999999992</v>
      </c>
      <c r="L17" s="7">
        <f t="shared" si="3"/>
        <v>2.0499999998719431E-2</v>
      </c>
      <c r="M17" s="7">
        <f>SUMIF([1]Detail!$C$4:$C$461,[1]Summary!$B17,[1]Detail!$J$4:$J$461)</f>
        <v>0</v>
      </c>
      <c r="N17" s="7">
        <f>SUMIF([1]Detail!$C$4:$C$461,[1]Summary!$B17,[1]Detail!$K$4:$K$461)</f>
        <v>9.9999999999909051E-3</v>
      </c>
      <c r="O17" s="7">
        <f>SUMIF([1]Detail!$C$4:$C$461,[1]Summary!$B17,[1]Detail!$L$4:$L$461)</f>
        <v>0</v>
      </c>
      <c r="P17" s="7">
        <f>SUMIF([1]Detail!$C$4:$C$255, [1]Summary!$B17, [1]Detail!$M$4:$M$255)</f>
        <v>0</v>
      </c>
      <c r="Q17" s="10">
        <f>SUMIF([1]Detail!$C$4:$C$255, [1]Summary!$B17, [1]Detail!$N$4:$N$255)</f>
        <v>0</v>
      </c>
      <c r="R17" s="11">
        <f t="shared" si="4"/>
        <v>-2.5011104298755527E-12</v>
      </c>
      <c r="S17" s="11"/>
    </row>
    <row r="18" spans="1:19" s="12" customFormat="1" x14ac:dyDescent="0.25">
      <c r="A18" s="13" t="s">
        <v>47</v>
      </c>
      <c r="B18" s="14" t="s">
        <v>48</v>
      </c>
      <c r="C18" s="6">
        <f>323577-50000-50000</f>
        <v>223577</v>
      </c>
      <c r="D18" s="7">
        <f>SUMIF([1]Detail!$C$4:$C$461,[1]Summary!$B18,[1]Detail!$F$4:$F$461)</f>
        <v>165526.13999999998</v>
      </c>
      <c r="E18" s="7">
        <f>SUMIF([1]Detail!$C$4:$C$461,[1]Summary!$B18,[1]Detail!$G$4:$G$461)</f>
        <v>28706.54</v>
      </c>
      <c r="F18" s="8">
        <f t="shared" si="0"/>
        <v>0.86875072122803332</v>
      </c>
      <c r="G18" s="9">
        <f t="shared" si="1"/>
        <v>33266.899999999994</v>
      </c>
      <c r="H18" s="7">
        <f>SUMIF([1]Detail!$C$4:$C$461,[1]Summary!$B18,[1]Detail!$H$4:$H$461)</f>
        <v>165487.04000000001</v>
      </c>
      <c r="I18" s="7">
        <f>SUMIF([1]Detail!$C$4:$C$461,[1]Summary!$B18,[1]Detail!$I$4:$I$461)</f>
        <v>24823.06</v>
      </c>
      <c r="J18" s="7">
        <f t="shared" si="5"/>
        <v>190310.1</v>
      </c>
      <c r="K18" s="7">
        <f t="shared" si="2"/>
        <v>24823.056</v>
      </c>
      <c r="L18" s="7">
        <f t="shared" si="3"/>
        <v>-4.0000000008149073E-3</v>
      </c>
      <c r="M18" s="7">
        <f>SUMIF([1]Detail!$C$4:$C$461,[1]Summary!$B18,[1]Detail!$J$4:$J$461)</f>
        <v>0</v>
      </c>
      <c r="N18" s="7">
        <f>SUMIF([1]Detail!$C$4:$C$461,[1]Summary!$B18,[1]Detail!$K$4:$K$461)</f>
        <v>3883.4799999999996</v>
      </c>
      <c r="O18" s="7">
        <f>SUMIF([1]Detail!$C$4:$C$461,[1]Summary!$B18,[1]Detail!$L$4:$L$461)</f>
        <v>0</v>
      </c>
      <c r="P18" s="7">
        <f>SUMIF([1]Detail!$C$4:$C$255, [1]Summary!$B18, [1]Detail!$M$4:$M$255)</f>
        <v>0</v>
      </c>
      <c r="Q18" s="10">
        <f>SUMIF([1]Detail!$C$4:$C$255, [1]Summary!$B18, [1]Detail!$N$4:$N$255)</f>
        <v>39.099999999998545</v>
      </c>
      <c r="R18" s="11">
        <f t="shared" si="4"/>
        <v>-1.4551915228366852E-11</v>
      </c>
      <c r="S18" s="11"/>
    </row>
    <row r="19" spans="1:19" x14ac:dyDescent="0.25">
      <c r="A19" s="15" t="s">
        <v>25</v>
      </c>
      <c r="B19" s="14" t="s">
        <v>49</v>
      </c>
      <c r="C19" s="6">
        <f>125114-7500-8200</f>
        <v>109414</v>
      </c>
      <c r="D19" s="7">
        <f>SUMIF([1]Detail!$C$4:$C$461,[1]Summary!$B19,[1]Detail!$F$4:$F$461)</f>
        <v>95093.99</v>
      </c>
      <c r="E19" s="7">
        <f>SUMIF([1]Detail!$C$4:$C$461,[1]Summary!$B19,[1]Detail!$G$4:$G$461)</f>
        <v>14448.2</v>
      </c>
      <c r="F19" s="8">
        <f t="shared" si="0"/>
        <v>1.00117160509624</v>
      </c>
      <c r="G19" s="9">
        <f t="shared" si="1"/>
        <v>55.909999999988941</v>
      </c>
      <c r="H19" s="7">
        <f>SUMIF([1]Detail!$C$4:$C$461,[1]Summary!$B19,[1]Detail!$H$4:$H$461)</f>
        <v>95093.99</v>
      </c>
      <c r="I19" s="7">
        <f>SUMIF([1]Detail!$C$4:$C$461,[1]Summary!$B19,[1]Detail!$I$4:$I$461)</f>
        <v>14264.1</v>
      </c>
      <c r="J19" s="7">
        <f t="shared" si="5"/>
        <v>109358.09000000001</v>
      </c>
      <c r="K19" s="7">
        <f t="shared" si="2"/>
        <v>14264.0985</v>
      </c>
      <c r="L19" s="7">
        <f t="shared" si="3"/>
        <v>-1.5000000003055902E-3</v>
      </c>
      <c r="M19" s="7">
        <f>SUMIF([1]Detail!$C$4:$C$461,[1]Summary!$B19,[1]Detail!$J$4:$J$461)</f>
        <v>0</v>
      </c>
      <c r="N19" s="7">
        <f>SUMIF([1]Detail!$C$4:$C$461,[1]Summary!$B19,[1]Detail!$K$4:$K$461)</f>
        <v>184.10000000000036</v>
      </c>
      <c r="O19" s="7">
        <f>SUMIF([1]Detail!$C$4:$C$461,[1]Summary!$B19,[1]Detail!$L$4:$L$461)</f>
        <v>0</v>
      </c>
      <c r="P19" s="7">
        <f>SUMIF([1]Detail!$C$4:$C$255, [1]Summary!$B19, [1]Detail!$M$4:$M$255)</f>
        <v>0</v>
      </c>
      <c r="Q19" s="10">
        <f>SUMIF([1]Detail!$C$4:$C$255, [1]Summary!$B19, [1]Detail!$N$4:$N$255)</f>
        <v>0</v>
      </c>
      <c r="R19" s="11">
        <f t="shared" si="4"/>
        <v>-3.637978807091713E-12</v>
      </c>
      <c r="S19" s="11"/>
    </row>
    <row r="20" spans="1:19" s="12" customFormat="1" x14ac:dyDescent="0.25">
      <c r="A20" s="13" t="s">
        <v>50</v>
      </c>
      <c r="B20" s="14" t="s">
        <v>51</v>
      </c>
      <c r="C20" s="6">
        <f>146680+15000</f>
        <v>161680</v>
      </c>
      <c r="D20" s="7">
        <f>SUMIF([1]Detail!$C$4:$C$461,[1]Summary!$B20,[1]Detail!$F$4:$F$461)</f>
        <v>142425.4</v>
      </c>
      <c r="E20" s="7">
        <f>SUMIF([1]Detail!$C$4:$C$461,[1]Summary!$B20,[1]Detail!$G$4:$G$461)</f>
        <v>16749.830000000002</v>
      </c>
      <c r="F20" s="8">
        <f t="shared" si="0"/>
        <v>0.98450785502226612</v>
      </c>
      <c r="G20" s="9">
        <f t="shared" si="1"/>
        <v>2504.7700000000186</v>
      </c>
      <c r="H20" s="7">
        <f>SUMIF([1]Detail!$C$4:$C$461,[1]Summary!$B20,[1]Detail!$H$4:$H$461)</f>
        <v>142425.4</v>
      </c>
      <c r="I20" s="7">
        <f>SUMIF([1]Detail!$C$4:$C$461,[1]Summary!$B20,[1]Detail!$I$4:$I$461)</f>
        <v>16749.830000000002</v>
      </c>
      <c r="J20" s="7">
        <f t="shared" si="5"/>
        <v>159175.22999999998</v>
      </c>
      <c r="K20" s="7">
        <f t="shared" si="2"/>
        <v>21363.809999999998</v>
      </c>
      <c r="L20" s="7">
        <f t="shared" si="3"/>
        <v>4613.9799999999959</v>
      </c>
      <c r="M20" s="7">
        <f>SUMIF([1]Detail!$C$4:$C$461,[1]Summary!$B20,[1]Detail!$J$4:$J$461)</f>
        <v>0</v>
      </c>
      <c r="N20" s="7">
        <f>SUMIF([1]Detail!$C$4:$C$461,[1]Summary!$B20,[1]Detail!$K$4:$K$461)</f>
        <v>0</v>
      </c>
      <c r="O20" s="7">
        <f>SUMIF([1]Detail!$C$4:$C$461,[1]Summary!$B20,[1]Detail!$L$4:$L$461)</f>
        <v>0</v>
      </c>
      <c r="P20" s="7">
        <f>SUMIF([1]Detail!$C$4:$C$255, [1]Summary!$B20, [1]Detail!$M$4:$M$255)</f>
        <v>0</v>
      </c>
      <c r="Q20" s="10">
        <f>SUMIF([1]Detail!$C$4:$C$255, [1]Summary!$B20, [1]Detail!$N$4:$N$255)</f>
        <v>0</v>
      </c>
      <c r="R20" s="11">
        <f t="shared" si="4"/>
        <v>-1.4551915228366852E-11</v>
      </c>
      <c r="S20" s="11"/>
    </row>
    <row r="21" spans="1:19" x14ac:dyDescent="0.25">
      <c r="A21" s="15" t="s">
        <v>52</v>
      </c>
      <c r="B21" s="14" t="s">
        <v>53</v>
      </c>
      <c r="C21" s="6">
        <v>143740</v>
      </c>
      <c r="D21" s="7">
        <f>SUMIF([1]Detail!$C$4:$C$461,[1]Summary!$B21,[1]Detail!$F$4:$F$461)</f>
        <v>97549.94</v>
      </c>
      <c r="E21" s="7">
        <f>SUMIF([1]Detail!$C$4:$C$461,[1]Summary!$B21,[1]Detail!$G$4:$G$461)</f>
        <v>13940.05</v>
      </c>
      <c r="F21" s="8">
        <f t="shared" si="0"/>
        <v>0.77563649645192712</v>
      </c>
      <c r="G21" s="9">
        <f t="shared" si="1"/>
        <v>60044.420000000013</v>
      </c>
      <c r="H21" s="7">
        <f>SUMIF([1]Detail!$C$4:$C$461,[1]Summary!$B21,[1]Detail!$H$4:$H$461)</f>
        <v>72778.76999999999</v>
      </c>
      <c r="I21" s="7">
        <f>SUMIF([1]Detail!$C$4:$C$461,[1]Summary!$B21,[1]Detail!$I$4:$I$461)</f>
        <v>10916.81</v>
      </c>
      <c r="J21" s="7">
        <f t="shared" si="5"/>
        <v>83695.579999999987</v>
      </c>
      <c r="K21" s="7">
        <f t="shared" si="2"/>
        <v>10916.815499999999</v>
      </c>
      <c r="L21" s="7">
        <f t="shared" si="3"/>
        <v>5.4999999993015081E-3</v>
      </c>
      <c r="M21" s="7">
        <f>SUMIF([1]Detail!$C$4:$C$461,[1]Summary!$B21,[1]Detail!$J$4:$J$461)</f>
        <v>27495.99</v>
      </c>
      <c r="N21" s="7">
        <f>SUMIF([1]Detail!$C$4:$C$461,[1]Summary!$B21,[1]Detail!$K$4:$K$461)</f>
        <v>298.42000000000007</v>
      </c>
      <c r="O21" s="7">
        <f>SUMIF([1]Detail!$C$4:$C$461,[1]Summary!$B21,[1]Detail!$L$4:$L$461)</f>
        <v>0</v>
      </c>
      <c r="P21" s="7">
        <f>SUMIF([1]Detail!$C$4:$C$255, [1]Summary!$B21, [1]Detail!$M$4:$M$255)</f>
        <v>0</v>
      </c>
      <c r="Q21" s="10">
        <f>SUMIF([1]Detail!$C$4:$C$255, [1]Summary!$B21, [1]Detail!$N$4:$N$255)</f>
        <v>0</v>
      </c>
      <c r="R21" s="11">
        <f t="shared" si="4"/>
        <v>1.6370904631912708E-11</v>
      </c>
      <c r="S21" s="11"/>
    </row>
    <row r="22" spans="1:19" s="12" customFormat="1" x14ac:dyDescent="0.25">
      <c r="A22" s="13" t="s">
        <v>54</v>
      </c>
      <c r="B22" s="14" t="s">
        <v>55</v>
      </c>
      <c r="C22" s="6">
        <f>148757+300</f>
        <v>149057</v>
      </c>
      <c r="D22" s="7">
        <f>SUMIF([1]Detail!$C$4:$C$461,[1]Summary!$B22,[1]Detail!$F$4:$F$461)</f>
        <v>131689.67000000001</v>
      </c>
      <c r="E22" s="7">
        <f>SUMIF([1]Detail!$C$4:$C$461,[1]Summary!$B22,[1]Detail!$G$4:$G$461)</f>
        <v>17334.61</v>
      </c>
      <c r="F22" s="8">
        <f t="shared" si="0"/>
        <v>0.99978048665946606</v>
      </c>
      <c r="G22" s="9">
        <f t="shared" si="1"/>
        <v>32.71999999997206</v>
      </c>
      <c r="H22" s="7">
        <f>SUMIF([1]Detail!$C$4:$C$461,[1]Summary!$B22,[1]Detail!$H$4:$H$461)</f>
        <v>131689.67000000001</v>
      </c>
      <c r="I22" s="7">
        <f>SUMIF([1]Detail!$C$4:$C$461,[1]Summary!$B22,[1]Detail!$I$4:$I$461)</f>
        <v>17334.61</v>
      </c>
      <c r="J22" s="7">
        <f t="shared" si="5"/>
        <v>149024.28000000003</v>
      </c>
      <c r="K22" s="7">
        <f t="shared" si="2"/>
        <v>19753.450500000003</v>
      </c>
      <c r="L22" s="7">
        <f t="shared" si="3"/>
        <v>2418.8405000000021</v>
      </c>
      <c r="M22" s="7">
        <f>SUMIF([1]Detail!$C$4:$C$461,[1]Summary!$B22,[1]Detail!$J$4:$J$461)</f>
        <v>0</v>
      </c>
      <c r="N22" s="7">
        <f>SUMIF([1]Detail!$C$4:$C$461,[1]Summary!$B22,[1]Detail!$K$4:$K$461)</f>
        <v>0</v>
      </c>
      <c r="O22" s="7">
        <f>SUMIF([1]Detail!$C$4:$C$461,[1]Summary!$B22,[1]Detail!$L$4:$L$461)</f>
        <v>0</v>
      </c>
      <c r="P22" s="7">
        <f>SUMIF([1]Detail!$C$4:$C$255, [1]Summary!$B22, [1]Detail!$M$4:$M$255)</f>
        <v>0</v>
      </c>
      <c r="Q22" s="10">
        <f>SUMIF([1]Detail!$C$4:$C$255, [1]Summary!$B22, [1]Detail!$N$4:$N$255)</f>
        <v>0</v>
      </c>
      <c r="R22" s="11">
        <f t="shared" si="4"/>
        <v>1.4551915228366852E-11</v>
      </c>
      <c r="S22" s="11"/>
    </row>
    <row r="23" spans="1:19" x14ac:dyDescent="0.25">
      <c r="A23" s="15" t="s">
        <v>25</v>
      </c>
      <c r="B23" s="14" t="s">
        <v>56</v>
      </c>
      <c r="C23" s="6">
        <f>268269-19000</f>
        <v>249269</v>
      </c>
      <c r="D23" s="7">
        <f>SUMIF([1]Detail!$C$4:$C$461,[1]Summary!$B23,[1]Detail!$F$4:$F$461)</f>
        <v>216729.03999999998</v>
      </c>
      <c r="E23" s="7">
        <f>SUMIF([1]Detail!$C$4:$C$461,[1]Summary!$B23,[1]Detail!$G$4:$G$461)</f>
        <v>32708.85</v>
      </c>
      <c r="F23" s="8">
        <f t="shared" si="0"/>
        <v>1.0006775411302649</v>
      </c>
      <c r="G23" s="9">
        <f t="shared" si="1"/>
        <v>30.600000000034925</v>
      </c>
      <c r="H23" s="7">
        <f>SUMIF([1]Detail!$C$4:$C$461,[1]Summary!$B23,[1]Detail!$H$4:$H$461)</f>
        <v>216729.03999999998</v>
      </c>
      <c r="I23" s="7">
        <f>SUMIF([1]Detail!$C$4:$C$461,[1]Summary!$B23,[1]Detail!$I$4:$I$461)</f>
        <v>32509.360000000001</v>
      </c>
      <c r="J23" s="7">
        <f>SUM(H23+I23)</f>
        <v>249238.39999999997</v>
      </c>
      <c r="K23" s="7">
        <f t="shared" si="2"/>
        <v>32509.355999999996</v>
      </c>
      <c r="L23" s="7">
        <f t="shared" si="3"/>
        <v>-4.0000000044528861E-3</v>
      </c>
      <c r="M23" s="7">
        <f>SUMIF([1]Detail!$C$4:$C$461,[1]Summary!$B23,[1]Detail!$J$4:$J$461)</f>
        <v>0</v>
      </c>
      <c r="N23" s="7">
        <f>SUMIF([1]Detail!$C$4:$C$461,[1]Summary!$B23,[1]Detail!$K$4:$K$461)</f>
        <v>199.48999999999978</v>
      </c>
      <c r="O23" s="7">
        <f>SUMIF([1]Detail!$C$4:$C$461,[1]Summary!$B23,[1]Detail!$L$4:$L$461)</f>
        <v>0</v>
      </c>
      <c r="P23" s="7">
        <f>SUMIF([1]Detail!$C$4:$C$255, [1]Summary!$B23, [1]Detail!$M$4:$M$255)</f>
        <v>0</v>
      </c>
      <c r="Q23" s="10">
        <f>SUMIF([1]Detail!$C$4:$C$255, [1]Summary!$B23, [1]Detail!$N$4:$N$255)</f>
        <v>0</v>
      </c>
      <c r="R23" s="11">
        <f t="shared" si="4"/>
        <v>5.4569682106375694E-12</v>
      </c>
      <c r="S23" s="11"/>
    </row>
    <row r="24" spans="1:19" x14ac:dyDescent="0.25">
      <c r="A24" s="15" t="s">
        <v>25</v>
      </c>
      <c r="B24" s="14" t="s">
        <v>57</v>
      </c>
      <c r="C24" s="6">
        <f>176936+30000-10700</f>
        <v>196236</v>
      </c>
      <c r="D24" s="7">
        <f>SUMIF([1]Detail!$C$4:$C$461,[1]Summary!$B24,[1]Detail!$F$4:$F$461)</f>
        <v>170265.95</v>
      </c>
      <c r="E24" s="7">
        <f>SUMIF([1]Detail!$C$4:$C$461,[1]Summary!$B24,[1]Detail!$G$4:$G$461)</f>
        <v>25549.61</v>
      </c>
      <c r="F24" s="8">
        <f t="shared" si="0"/>
        <v>0.99785747773089539</v>
      </c>
      <c r="G24" s="9">
        <f t="shared" si="1"/>
        <v>430.15999999997439</v>
      </c>
      <c r="H24" s="7">
        <f>SUMIF([1]Detail!$C$4:$C$461,[1]Summary!$B24,[1]Detail!$H$4:$H$461)</f>
        <v>170265.95</v>
      </c>
      <c r="I24" s="7">
        <f>SUMIF([1]Detail!$C$4:$C$461,[1]Summary!$B24,[1]Detail!$I$4:$I$461)</f>
        <v>25539.89</v>
      </c>
      <c r="J24" s="7">
        <f t="shared" si="5"/>
        <v>195805.84000000003</v>
      </c>
      <c r="K24" s="7">
        <f t="shared" si="2"/>
        <v>25539.892500000002</v>
      </c>
      <c r="L24" s="7">
        <f t="shared" si="3"/>
        <v>2.5000000023283064E-3</v>
      </c>
      <c r="M24" s="7">
        <f>SUMIF([1]Detail!$C$4:$C$461,[1]Summary!$B24,[1]Detail!$J$4:$J$461)</f>
        <v>0</v>
      </c>
      <c r="N24" s="7">
        <f>SUMIF([1]Detail!$C$4:$C$461,[1]Summary!$B24,[1]Detail!$K$4:$K$461)</f>
        <v>9.7199999999993452</v>
      </c>
      <c r="O24" s="7">
        <f>SUMIF([1]Detail!$C$4:$C$461,[1]Summary!$B24,[1]Detail!$L$4:$L$461)</f>
        <v>0</v>
      </c>
      <c r="P24" s="7">
        <f>SUMIF([1]Detail!$C$4:$C$255, [1]Summary!$B24, [1]Detail!$M$4:$M$255)</f>
        <v>0</v>
      </c>
      <c r="Q24" s="10">
        <f>SUMIF([1]Detail!$C$4:$C$255, [1]Summary!$B24, [1]Detail!$N$4:$N$255)</f>
        <v>0</v>
      </c>
      <c r="R24" s="11">
        <f t="shared" si="4"/>
        <v>-1.2732925824820995E-11</v>
      </c>
      <c r="S24" s="11"/>
    </row>
    <row r="25" spans="1:19" x14ac:dyDescent="0.25">
      <c r="A25" s="15" t="s">
        <v>58</v>
      </c>
      <c r="B25" s="14" t="s">
        <v>59</v>
      </c>
      <c r="C25" s="6">
        <f>88250+43.88</f>
        <v>88293.88</v>
      </c>
      <c r="D25" s="7">
        <f>SUMIF([1]Detail!$C$4:$C$461,[1]Summary!$B25,[1]Detail!$F$4:$F$461)</f>
        <v>76777.290000000008</v>
      </c>
      <c r="E25" s="7">
        <f>SUMIF([1]Detail!$C$4:$C$461,[1]Summary!$B25,[1]Detail!$G$4:$G$461)</f>
        <v>34427.42</v>
      </c>
      <c r="F25" s="8">
        <f t="shared" si="0"/>
        <v>1.2594837830209749</v>
      </c>
      <c r="G25" s="9">
        <f t="shared" si="1"/>
        <v>-3.5000000061700121E-3</v>
      </c>
      <c r="H25" s="7">
        <f>SUMIF([1]Detail!$C$4:$C$461,[1]Summary!$B25,[1]Detail!$H$4:$H$461)</f>
        <v>76777.290000000008</v>
      </c>
      <c r="I25" s="7">
        <f>SUMIF([1]Detail!$C$4:$C$461,[1]Summary!$B25,[1]Detail!$I$4:$I$461)</f>
        <v>11516.593500000001</v>
      </c>
      <c r="J25" s="7">
        <f t="shared" si="5"/>
        <v>88293.883500000011</v>
      </c>
      <c r="K25" s="7">
        <f t="shared" si="2"/>
        <v>11516.593500000001</v>
      </c>
      <c r="L25" s="7">
        <f t="shared" si="3"/>
        <v>0</v>
      </c>
      <c r="M25" s="7">
        <f>SUMIF([1]Detail!$C$4:$C$461,[1]Summary!$B25,[1]Detail!$J$4:$J$461)</f>
        <v>0</v>
      </c>
      <c r="N25" s="7">
        <f>SUMIF([1]Detail!$C$4:$C$461,[1]Summary!$B25,[1]Detail!$K$4:$K$461)</f>
        <v>22910.826499999999</v>
      </c>
      <c r="O25" s="7">
        <f>SUMIF([1]Detail!$C$4:$C$461,[1]Summary!$B25,[1]Detail!$L$4:$L$461)</f>
        <v>0</v>
      </c>
      <c r="P25" s="7">
        <f>SUMIF([1]Detail!$C$4:$C$255, [1]Summary!$B25, [1]Detail!$M$4:$M$255)</f>
        <v>0</v>
      </c>
      <c r="Q25" s="10">
        <f>SUMIF([1]Detail!$C$4:$C$255, [1]Summary!$B25, [1]Detail!$N$4:$N$255)</f>
        <v>0</v>
      </c>
      <c r="R25" s="11">
        <f t="shared" si="4"/>
        <v>-3.637978807091713E-12</v>
      </c>
      <c r="S25" s="11"/>
    </row>
    <row r="26" spans="1:19" x14ac:dyDescent="0.25">
      <c r="A26" s="15" t="s">
        <v>25</v>
      </c>
      <c r="B26" s="14" t="s">
        <v>60</v>
      </c>
      <c r="C26" s="6">
        <f>170481-22500+13300</f>
        <v>161281</v>
      </c>
      <c r="D26" s="7">
        <f>SUMIF([1]Detail!$C$4:$C$461,[1]Summary!$B26,[1]Detail!$F$4:$F$461)</f>
        <v>140235.79999999999</v>
      </c>
      <c r="E26" s="7">
        <f>SUMIF([1]Detail!$C$4:$C$461,[1]Summary!$B26,[1]Detail!$G$4:$G$461)</f>
        <v>21040.17</v>
      </c>
      <c r="F26" s="8">
        <f t="shared" si="0"/>
        <v>0.99996881219734479</v>
      </c>
      <c r="G26" s="9">
        <f t="shared" si="1"/>
        <v>9.8300000000162981</v>
      </c>
      <c r="H26" s="7">
        <f>SUMIF([1]Detail!$C$4:$C$461,[1]Summary!$B26,[1]Detail!$H$4:$H$461)</f>
        <v>140235.79999999999</v>
      </c>
      <c r="I26" s="7">
        <f>SUMIF([1]Detail!$C$4:$C$461,[1]Summary!$B26,[1]Detail!$I$4:$I$461)</f>
        <v>21035.370000000003</v>
      </c>
      <c r="J26" s="7">
        <f t="shared" si="5"/>
        <v>161271.16999999998</v>
      </c>
      <c r="K26" s="7">
        <f t="shared" si="2"/>
        <v>21035.37</v>
      </c>
      <c r="L26" s="7">
        <f t="shared" si="3"/>
        <v>-3.637978807091713E-12</v>
      </c>
      <c r="M26" s="7">
        <f>SUMIF([1]Detail!$C$4:$C$461,[1]Summary!$B26,[1]Detail!$J$4:$J$461)</f>
        <v>0</v>
      </c>
      <c r="N26" s="7">
        <f>SUMIF([1]Detail!$C$4:$C$461,[1]Summary!$B26,[1]Detail!$K$4:$K$461)</f>
        <v>4.8000000000001819</v>
      </c>
      <c r="O26" s="7">
        <f>SUMIF([1]Detail!$C$4:$C$461,[1]Summary!$B26,[1]Detail!$L$4:$L$461)</f>
        <v>0</v>
      </c>
      <c r="P26" s="7">
        <f>SUMIF([1]Detail!$C$4:$C$255, [1]Summary!$B26, [1]Detail!$M$4:$M$255)</f>
        <v>0</v>
      </c>
      <c r="Q26" s="10">
        <f>SUMIF([1]Detail!$C$4:$C$255, [1]Summary!$B26, [1]Detail!$N$4:$N$255)</f>
        <v>0</v>
      </c>
      <c r="R26" s="11">
        <f t="shared" si="4"/>
        <v>-1.9099388737231493E-11</v>
      </c>
      <c r="S26" s="11"/>
    </row>
    <row r="27" spans="1:19" x14ac:dyDescent="0.25">
      <c r="A27" s="15" t="s">
        <v>25</v>
      </c>
      <c r="B27" s="14" t="s">
        <v>61</v>
      </c>
      <c r="C27" s="6">
        <f>240908+5000</f>
        <v>245908</v>
      </c>
      <c r="D27" s="7">
        <f>SUMIF([1]Detail!$C$4:$C$461,[1]Summary!$B27,[1]Detail!$F$4:$F$461)</f>
        <v>213831.13</v>
      </c>
      <c r="E27" s="7">
        <f>SUMIF([1]Detail!$C$4:$C$461,[1]Summary!$B27,[1]Detail!$G$4:$G$461)</f>
        <v>32081.97</v>
      </c>
      <c r="F27" s="8">
        <f t="shared" si="0"/>
        <v>1.0000207394635392</v>
      </c>
      <c r="G27" s="9">
        <f t="shared" si="1"/>
        <v>2.1999999999825377</v>
      </c>
      <c r="H27" s="7">
        <f>SUMIF([1]Detail!$C$4:$C$461,[1]Summary!$B27,[1]Detail!$H$4:$H$461)</f>
        <v>213831.13</v>
      </c>
      <c r="I27" s="7">
        <f>SUMIF([1]Detail!$C$4:$C$461,[1]Summary!$B27,[1]Detail!$I$4:$I$461)</f>
        <v>32074.670000000006</v>
      </c>
      <c r="J27" s="7">
        <f>SUM(H27+I27)</f>
        <v>245905.80000000002</v>
      </c>
      <c r="K27" s="7">
        <f t="shared" si="2"/>
        <v>32074.6695</v>
      </c>
      <c r="L27" s="7">
        <f t="shared" si="3"/>
        <v>-5.0000000555883162E-4</v>
      </c>
      <c r="M27" s="7">
        <f>SUMIF([1]Detail!$C$4:$C$461,[1]Summary!$B27,[1]Detail!$J$4:$J$461)</f>
        <v>0</v>
      </c>
      <c r="N27" s="7">
        <f>SUMIF([1]Detail!$C$4:$C$461,[1]Summary!$B27,[1]Detail!$K$4:$K$461)</f>
        <v>7.2999999999992724</v>
      </c>
      <c r="O27" s="7">
        <f>SUMIF([1]Detail!$C$4:$C$461,[1]Summary!$B27,[1]Detail!$L$4:$L$461)</f>
        <v>0</v>
      </c>
      <c r="P27" s="7">
        <f>SUMIF([1]Detail!$C$4:$C$255, [1]Summary!$B27, [1]Detail!$M$4:$M$255)</f>
        <v>0</v>
      </c>
      <c r="Q27" s="10">
        <f>SUMIF([1]Detail!$C$4:$C$255, [1]Summary!$B27, [1]Detail!$N$4:$N$255)</f>
        <v>0</v>
      </c>
      <c r="R27" s="11">
        <f t="shared" si="4"/>
        <v>-3.637978807091713E-12</v>
      </c>
      <c r="S27" s="11"/>
    </row>
    <row r="28" spans="1:19" s="12" customFormat="1" x14ac:dyDescent="0.25">
      <c r="A28" s="13" t="s">
        <v>62</v>
      </c>
      <c r="B28" s="14" t="s">
        <v>63</v>
      </c>
      <c r="C28" s="6">
        <f>178788+45000</f>
        <v>223788</v>
      </c>
      <c r="D28" s="7">
        <f>SUMIF([1]Detail!$C$4:$C$461,[1]Summary!$B28,[1]Detail!$F$4:$F$461)</f>
        <v>205016.89</v>
      </c>
      <c r="E28" s="7">
        <f>SUMIF([1]Detail!$C$4:$C$461,[1]Summary!$B28,[1]Detail!$G$4:$G$461)</f>
        <v>18332.95</v>
      </c>
      <c r="F28" s="8">
        <f t="shared" si="0"/>
        <v>0.99804207553577506</v>
      </c>
      <c r="G28" s="9">
        <f t="shared" si="1"/>
        <v>438.15999999997439</v>
      </c>
      <c r="H28" s="7">
        <f>SUMIF([1]Detail!$C$4:$C$461,[1]Summary!$B28,[1]Detail!$H$4:$H$461)</f>
        <v>205016.89</v>
      </c>
      <c r="I28" s="7">
        <f>SUMIF([1]Detail!$C$4:$C$461,[1]Summary!$B28,[1]Detail!$I$4:$I$461)</f>
        <v>18332.95</v>
      </c>
      <c r="J28" s="7">
        <f t="shared" si="5"/>
        <v>223349.84000000003</v>
      </c>
      <c r="K28" s="7">
        <f t="shared" si="2"/>
        <v>30752.533500000001</v>
      </c>
      <c r="L28" s="7">
        <f t="shared" si="3"/>
        <v>12419.583500000001</v>
      </c>
      <c r="M28" s="7">
        <f>SUMIF([1]Detail!$C$4:$C$461,[1]Summary!$B28,[1]Detail!$J$4:$J$461)</f>
        <v>0</v>
      </c>
      <c r="N28" s="7">
        <f>SUMIF([1]Detail!$C$4:$C$461,[1]Summary!$B28,[1]Detail!$K$4:$K$461)</f>
        <v>0</v>
      </c>
      <c r="O28" s="7">
        <f>SUMIF([1]Detail!$C$4:$C$461,[1]Summary!$B28,[1]Detail!$L$4:$L$461)</f>
        <v>0</v>
      </c>
      <c r="P28" s="7">
        <f>SUMIF([1]Detail!$C$4:$C$255, [1]Summary!$B28, [1]Detail!$M$4:$M$255)</f>
        <v>0</v>
      </c>
      <c r="Q28" s="10">
        <f>SUMIF([1]Detail!$C$4:$C$255, [1]Summary!$B28, [1]Detail!$N$4:$N$255)</f>
        <v>0</v>
      </c>
      <c r="R28" s="11">
        <f t="shared" si="4"/>
        <v>1.0913936421275139E-11</v>
      </c>
      <c r="S28" s="11"/>
    </row>
    <row r="29" spans="1:19" s="12" customFormat="1" x14ac:dyDescent="0.25">
      <c r="A29" s="13" t="s">
        <v>25</v>
      </c>
      <c r="B29" s="14" t="s">
        <v>64</v>
      </c>
      <c r="C29" s="6">
        <f>113593-2800</f>
        <v>110793</v>
      </c>
      <c r="D29" s="7">
        <f>SUMIF([1]Detail!$C$4:$C$461,[1]Summary!$B29,[1]Detail!$F$4:$F$461)</f>
        <v>96339.239999999991</v>
      </c>
      <c r="E29" s="7">
        <f>SUMIF([1]Detail!$C$4:$C$461,[1]Summary!$B29,[1]Detail!$G$4:$G$461)</f>
        <v>14939.7</v>
      </c>
      <c r="F29" s="8">
        <f t="shared" si="0"/>
        <v>1.0043860171671495</v>
      </c>
      <c r="G29" s="9">
        <f t="shared" si="1"/>
        <v>2.8700000000098953</v>
      </c>
      <c r="H29" s="7">
        <f>SUMIF([1]Detail!$C$4:$C$461,[1]Summary!$B29,[1]Detail!$H$4:$H$461)</f>
        <v>96339.239999999991</v>
      </c>
      <c r="I29" s="7">
        <f>SUMIF([1]Detail!$C$4:$C$461,[1]Summary!$B29,[1]Detail!$I$4:$I$461)</f>
        <v>14450.89</v>
      </c>
      <c r="J29" s="7">
        <f t="shared" si="5"/>
        <v>110790.12999999999</v>
      </c>
      <c r="K29" s="7">
        <f t="shared" si="2"/>
        <v>14450.885999999999</v>
      </c>
      <c r="L29" s="7">
        <f t="shared" si="3"/>
        <v>-4.0000000008149073E-3</v>
      </c>
      <c r="M29" s="7">
        <f>SUMIF([1]Detail!$C$4:$C$461,[1]Summary!$B29,[1]Detail!$J$4:$J$461)</f>
        <v>0</v>
      </c>
      <c r="N29" s="7">
        <f>SUMIF([1]Detail!$C$4:$C$461,[1]Summary!$B29,[1]Detail!$K$4:$K$461)</f>
        <v>488.80999999999995</v>
      </c>
      <c r="O29" s="7">
        <f>SUMIF([1]Detail!$C$4:$C$461,[1]Summary!$B29,[1]Detail!$L$4:$L$461)</f>
        <v>0</v>
      </c>
      <c r="P29" s="7">
        <f>SUMIF([1]Detail!$C$4:$C$255, [1]Summary!$B29, [1]Detail!$M$4:$M$255)</f>
        <v>0</v>
      </c>
      <c r="Q29" s="10">
        <f>SUMIF([1]Detail!$C$4:$C$255, [1]Summary!$B29, [1]Detail!$N$4:$N$255)</f>
        <v>0</v>
      </c>
      <c r="R29" s="11">
        <f t="shared" si="4"/>
        <v>-2.2737367544323206E-12</v>
      </c>
      <c r="S29" s="11"/>
    </row>
    <row r="30" spans="1:19" x14ac:dyDescent="0.25">
      <c r="A30" s="15" t="s">
        <v>25</v>
      </c>
      <c r="B30" s="14" t="s">
        <v>65</v>
      </c>
      <c r="C30" s="6">
        <f>71740-20000-10000-1000</f>
        <v>40740</v>
      </c>
      <c r="D30" s="7">
        <f>SUMIF([1]Detail!$C$4:$C$461,[1]Summary!$B30,[1]Detail!$F$4:$F$461)</f>
        <v>35423.300000000003</v>
      </c>
      <c r="E30" s="7">
        <f>SUMIF([1]Detail!$C$4:$C$461,[1]Summary!$B30,[1]Detail!$G$4:$G$461)</f>
        <v>6088.64</v>
      </c>
      <c r="F30" s="8">
        <f t="shared" si="0"/>
        <v>1.0189479626902307</v>
      </c>
      <c r="G30" s="9">
        <f t="shared" si="1"/>
        <v>3.1999999999970896</v>
      </c>
      <c r="H30" s="7">
        <f>SUMIF([1]Detail!$C$4:$C$461,[1]Summary!$B30,[1]Detail!$H$4:$H$461)</f>
        <v>35423.300000000003</v>
      </c>
      <c r="I30" s="7">
        <f>SUMIF([1]Detail!$C$4:$C$461,[1]Summary!$B30,[1]Detail!$I$4:$I$461)</f>
        <v>5313.5</v>
      </c>
      <c r="J30" s="7">
        <f t="shared" si="5"/>
        <v>40736.800000000003</v>
      </c>
      <c r="K30" s="7">
        <f t="shared" si="2"/>
        <v>5313.4949999999999</v>
      </c>
      <c r="L30" s="7">
        <f t="shared" si="3"/>
        <v>-5.0000000001091394E-3</v>
      </c>
      <c r="M30" s="7">
        <f>SUMIF([1]Detail!$C$4:$C$461,[1]Summary!$B30,[1]Detail!$J$4:$J$461)</f>
        <v>0</v>
      </c>
      <c r="N30" s="7">
        <f>SUMIF([1]Detail!$C$4:$C$461,[1]Summary!$B30,[1]Detail!$K$4:$K$461)</f>
        <v>775.1400000000001</v>
      </c>
      <c r="O30" s="7">
        <f>SUMIF([1]Detail!$C$4:$C$461,[1]Summary!$B30,[1]Detail!$L$4:$L$461)</f>
        <v>0</v>
      </c>
      <c r="P30" s="7">
        <f>SUMIF([1]Detail!$C$4:$C$255, [1]Summary!$B30, [1]Detail!$M$4:$M$255)</f>
        <v>0</v>
      </c>
      <c r="Q30" s="10">
        <f>SUMIF([1]Detail!$C$4:$C$255, [1]Summary!$B30, [1]Detail!$N$4:$N$255)</f>
        <v>0</v>
      </c>
      <c r="R30" s="11">
        <f t="shared" si="4"/>
        <v>-6.8212102632969618E-13</v>
      </c>
      <c r="S30" s="11"/>
    </row>
    <row r="31" spans="1:19" x14ac:dyDescent="0.25">
      <c r="A31" s="13" t="s">
        <v>66</v>
      </c>
      <c r="B31" s="14" t="s">
        <v>67</v>
      </c>
      <c r="C31" s="11">
        <v>136905</v>
      </c>
      <c r="D31" s="7">
        <f>SUMIF([1]Detail!$C$4:$C$461,[1]Summary!$B31,[1]Detail!$F$4:$F$461)</f>
        <v>88748.219999999987</v>
      </c>
      <c r="E31" s="7">
        <f>SUMIF([1]Detail!$C$4:$C$461,[1]Summary!$B31,[1]Detail!$G$4:$G$461)</f>
        <v>18584.71</v>
      </c>
      <c r="F31" s="8">
        <f t="shared" si="0"/>
        <v>0.78399569044227746</v>
      </c>
      <c r="G31" s="9">
        <f t="shared" si="1"/>
        <v>34844.560000000012</v>
      </c>
      <c r="H31" s="7">
        <f>SUMIF([1]Detail!$C$4:$C$461,[1]Summary!$B31,[1]Detail!$H$4:$H$461)</f>
        <v>88748.219999999987</v>
      </c>
      <c r="I31" s="7">
        <f>SUMIF([1]Detail!$C$4:$C$461,[1]Summary!$B31,[1]Detail!$I$4:$I$461)</f>
        <v>13312.22</v>
      </c>
      <c r="J31" s="7">
        <f t="shared" si="5"/>
        <v>102060.43999999999</v>
      </c>
      <c r="K31" s="7">
        <f t="shared" si="2"/>
        <v>13312.232999999998</v>
      </c>
      <c r="L31" s="7">
        <f t="shared" si="3"/>
        <v>1.299999999901047E-2</v>
      </c>
      <c r="M31" s="7">
        <f>SUMIF([1]Detail!$C$4:$C$461,[1]Summary!$B31,[1]Detail!$J$4:$J$461)</f>
        <v>0</v>
      </c>
      <c r="N31" s="7">
        <f>SUMIF([1]Detail!$C$4:$C$461,[1]Summary!$B31,[1]Detail!$K$4:$K$461)</f>
        <v>5272.49</v>
      </c>
      <c r="O31" s="7">
        <f>SUMIF([1]Detail!$C$4:$C$461,[1]Summary!$B31,[1]Detail!$L$4:$L$461)</f>
        <v>0</v>
      </c>
      <c r="P31" s="7">
        <f>SUMIF([1]Detail!$C$4:$C$255, [1]Summary!$B31, [1]Detail!$M$4:$M$255)</f>
        <v>0</v>
      </c>
      <c r="Q31" s="10">
        <f>SUMIF([1]Detail!$C$4:$C$255, [1]Summary!$B31, [1]Detail!$N$4:$N$255)</f>
        <v>0</v>
      </c>
      <c r="R31" s="11">
        <f t="shared" si="4"/>
        <v>7.2759576141834259E-12</v>
      </c>
      <c r="S31" s="11"/>
    </row>
    <row r="32" spans="1:19" s="12" customFormat="1" x14ac:dyDescent="0.25">
      <c r="A32" s="13" t="s">
        <v>68</v>
      </c>
      <c r="B32" s="14" t="s">
        <v>69</v>
      </c>
      <c r="C32" s="6">
        <v>65706</v>
      </c>
      <c r="D32" s="7">
        <f>SUMIF([1]Detail!$C$4:$C$461,[1]Summary!$B32,[1]Detail!$F$4:$F$461)</f>
        <v>16257.669999999998</v>
      </c>
      <c r="E32" s="7">
        <f>SUMIF([1]Detail!$C$4:$C$461,[1]Summary!$B32,[1]Detail!$G$4:$G$461)</f>
        <v>2252.5</v>
      </c>
      <c r="F32" s="8">
        <f t="shared" si="0"/>
        <v>0.28171202021124397</v>
      </c>
      <c r="G32" s="9">
        <f t="shared" si="1"/>
        <v>47195.83</v>
      </c>
      <c r="H32" s="7">
        <f>SUMIF([1]Detail!$C$4:$C$461,[1]Summary!$B32,[1]Detail!$H$4:$H$461)</f>
        <v>16257.669999999998</v>
      </c>
      <c r="I32" s="7">
        <f>SUMIF([1]Detail!$C$4:$C$461,[1]Summary!$B32,[1]Detail!$I$4:$I$461)</f>
        <v>2252.5</v>
      </c>
      <c r="J32" s="7">
        <f t="shared" si="5"/>
        <v>18510.169999999998</v>
      </c>
      <c r="K32" s="7">
        <f t="shared" si="2"/>
        <v>2438.6504999999997</v>
      </c>
      <c r="L32" s="7">
        <f t="shared" si="3"/>
        <v>186.15049999999974</v>
      </c>
      <c r="M32" s="7">
        <f>SUMIF([1]Detail!$C$4:$C$461,[1]Summary!$B32,[1]Detail!$J$4:$J$461)</f>
        <v>0</v>
      </c>
      <c r="N32" s="7">
        <f>SUMIF([1]Detail!$C$4:$C$461,[1]Summary!$B32,[1]Detail!$K$4:$K$461)</f>
        <v>0</v>
      </c>
      <c r="O32" s="7">
        <f>SUMIF([1]Detail!$C$4:$C$461,[1]Summary!$B32,[1]Detail!$L$4:$L$461)</f>
        <v>0</v>
      </c>
      <c r="P32" s="7">
        <f>SUMIF([1]Detail!$C$4:$C$255, [1]Summary!$B32, [1]Detail!$M$4:$M$255)</f>
        <v>0</v>
      </c>
      <c r="Q32" s="10">
        <f>SUMIF([1]Detail!$C$4:$C$255, [1]Summary!$B32, [1]Detail!$N$4:$N$255)</f>
        <v>0</v>
      </c>
      <c r="R32" s="11">
        <f t="shared" si="4"/>
        <v>0</v>
      </c>
      <c r="S32" s="11"/>
    </row>
    <row r="33" spans="1:19" s="12" customFormat="1" x14ac:dyDescent="0.25">
      <c r="A33" s="13" t="s">
        <v>70</v>
      </c>
      <c r="B33" s="14" t="s">
        <v>71</v>
      </c>
      <c r="C33" s="6">
        <f>89962-44200</f>
        <v>45762</v>
      </c>
      <c r="D33" s="7">
        <f>SUMIF([1]Detail!$C$4:$C$461,[1]Summary!$B33,[1]Detail!$F$4:$F$461)</f>
        <v>15772.82</v>
      </c>
      <c r="E33" s="7">
        <f>SUMIF([1]Detail!$C$4:$C$461,[1]Summary!$B33,[1]Detail!$G$4:$G$461)</f>
        <v>2893.1800000000003</v>
      </c>
      <c r="F33" s="8">
        <f t="shared" si="0"/>
        <v>0.40789301166907038</v>
      </c>
      <c r="G33" s="9">
        <f t="shared" si="1"/>
        <v>27623.260000000002</v>
      </c>
      <c r="H33" s="7">
        <f>SUMIF([1]Detail!$C$4:$C$461,[1]Summary!$B33,[1]Detail!$H$4:$H$461)</f>
        <v>15772.82</v>
      </c>
      <c r="I33" s="7">
        <f>SUMIF([1]Detail!$C$4:$C$461,[1]Summary!$B33,[1]Detail!$I$4:$I$461)</f>
        <v>2365.92</v>
      </c>
      <c r="J33" s="7">
        <f t="shared" si="5"/>
        <v>18138.739999999998</v>
      </c>
      <c r="K33" s="7">
        <f t="shared" si="2"/>
        <v>2365.9229999999998</v>
      </c>
      <c r="L33" s="7">
        <f t="shared" si="3"/>
        <v>2.9999999997016857E-3</v>
      </c>
      <c r="M33" s="7">
        <f>SUMIF([1]Detail!$C$4:$C$461,[1]Summary!$B33,[1]Detail!$J$4:$J$461)</f>
        <v>0</v>
      </c>
      <c r="N33" s="7">
        <f>SUMIF([1]Detail!$C$4:$C$461,[1]Summary!$B33,[1]Detail!$K$4:$K$461)</f>
        <v>527.2600000000001</v>
      </c>
      <c r="O33" s="7">
        <f>SUMIF([1]Detail!$C$4:$C$461,[1]Summary!$B33,[1]Detail!$L$4:$L$461)</f>
        <v>0</v>
      </c>
      <c r="P33" s="7">
        <f>SUMIF([1]Detail!$C$4:$C$255, [1]Summary!$B33, [1]Detail!$M$4:$M$255)</f>
        <v>0</v>
      </c>
      <c r="Q33" s="10">
        <f>SUMIF([1]Detail!$C$4:$C$255, [1]Summary!$B33, [1]Detail!$N$4:$N$255)</f>
        <v>0</v>
      </c>
      <c r="R33" s="11">
        <f t="shared" si="4"/>
        <v>1.1368683772161603E-13</v>
      </c>
      <c r="S33" s="11"/>
    </row>
    <row r="34" spans="1:19" s="12" customFormat="1" x14ac:dyDescent="0.25">
      <c r="A34" s="13" t="s">
        <v>72</v>
      </c>
      <c r="B34" s="14" t="s">
        <v>73</v>
      </c>
      <c r="C34" s="6">
        <v>78181</v>
      </c>
      <c r="D34" s="7">
        <f>SUMIF([1]Detail!$C$4:$C$461,[1]Summary!$B34,[1]Detail!$F$4:$F$461)</f>
        <v>66552.141000000003</v>
      </c>
      <c r="E34" s="7">
        <f>SUMIF([1]Detail!$C$4:$C$461,[1]Summary!$B34,[1]Detail!$G$4:$G$461)</f>
        <v>18775.62</v>
      </c>
      <c r="F34" s="8">
        <f t="shared" si="0"/>
        <v>1.0914130159501669</v>
      </c>
      <c r="G34" s="9">
        <f t="shared" si="1"/>
        <v>1646.0389999999898</v>
      </c>
      <c r="H34" s="7">
        <f>SUMIF([1]Detail!$C$4:$C$461,[1]Summary!$B34,[1]Detail!$H$4:$H$461)</f>
        <v>66552.141000000003</v>
      </c>
      <c r="I34" s="7">
        <f>SUMIF([1]Detail!$C$4:$C$461,[1]Summary!$B34,[1]Detail!$I$4:$I$461)</f>
        <v>9982.82</v>
      </c>
      <c r="J34" s="7">
        <f t="shared" si="5"/>
        <v>76534.96100000001</v>
      </c>
      <c r="K34" s="7">
        <f t="shared" si="2"/>
        <v>9982.8211499999998</v>
      </c>
      <c r="L34" s="7">
        <f t="shared" si="3"/>
        <v>1.1500000000523869E-3</v>
      </c>
      <c r="M34" s="7">
        <f>SUMIF([1]Detail!$C$4:$C$461,[1]Summary!$B34,[1]Detail!$J$4:$J$461)</f>
        <v>0</v>
      </c>
      <c r="N34" s="7">
        <f>SUMIF([1]Detail!$C$4:$C$461,[1]Summary!$B34,[1]Detail!$K$4:$K$461)</f>
        <v>8792.7999999999993</v>
      </c>
      <c r="O34" s="7">
        <f>SUMIF([1]Detail!$C$4:$C$461,[1]Summary!$B34,[1]Detail!$L$4:$L$461)</f>
        <v>0</v>
      </c>
      <c r="P34" s="7">
        <f>SUMIF([1]Detail!$C$4:$C$255, [1]Summary!$B34, [1]Detail!$M$4:$M$255)</f>
        <v>0</v>
      </c>
      <c r="Q34" s="10">
        <f>SUMIF([1]Detail!$C$4:$C$255, [1]Summary!$B34, [1]Detail!$N$4:$N$255)</f>
        <v>0</v>
      </c>
      <c r="R34" s="11">
        <f t="shared" si="4"/>
        <v>-3.637978807091713E-12</v>
      </c>
      <c r="S34" s="11"/>
    </row>
    <row r="35" spans="1:19" x14ac:dyDescent="0.25">
      <c r="A35" s="15" t="s">
        <v>74</v>
      </c>
      <c r="B35" s="14" t="s">
        <v>75</v>
      </c>
      <c r="C35" s="6">
        <v>239843</v>
      </c>
      <c r="D35" s="7">
        <f>SUMIF([1]Detail!$C$4:$C$461,[1]Summary!$B35,[1]Detail!$F$4:$F$461)</f>
        <v>188504.39</v>
      </c>
      <c r="E35" s="7">
        <f>SUMIF([1]Detail!$C$4:$C$461,[1]Summary!$B35,[1]Detail!$G$4:$G$461)</f>
        <v>28166.82</v>
      </c>
      <c r="F35" s="8">
        <f t="shared" si="0"/>
        <v>0.90338767443702761</v>
      </c>
      <c r="G35" s="9">
        <f t="shared" si="1"/>
        <v>23171.789999999979</v>
      </c>
      <c r="H35" s="7">
        <f>SUMIF([1]Detail!$C$4:$C$461,[1]Summary!$B35,[1]Detail!$H$4:$H$461)</f>
        <v>188504.39</v>
      </c>
      <c r="I35" s="7">
        <f>SUMIF([1]Detail!$C$4:$C$461,[1]Summary!$B35,[1]Detail!$I$4:$I$461)</f>
        <v>28166.82</v>
      </c>
      <c r="J35" s="7">
        <f t="shared" si="5"/>
        <v>216671.21000000002</v>
      </c>
      <c r="K35" s="7">
        <f t="shared" si="2"/>
        <v>28275.658500000001</v>
      </c>
      <c r="L35" s="7">
        <f t="shared" si="3"/>
        <v>108.83850000000166</v>
      </c>
      <c r="M35" s="7">
        <f>SUMIF([1]Detail!$C$4:$C$461,[1]Summary!$B35,[1]Detail!$J$4:$J$461)</f>
        <v>0</v>
      </c>
      <c r="N35" s="7">
        <f>SUMIF([1]Detail!$C$4:$C$461,[1]Summary!$B35,[1]Detail!$K$4:$K$461)</f>
        <v>0</v>
      </c>
      <c r="O35" s="7">
        <f>SUMIF([1]Detail!$C$4:$C$461,[1]Summary!$B35,[1]Detail!$L$4:$L$461)</f>
        <v>0</v>
      </c>
      <c r="P35" s="7">
        <f>SUMIF([1]Detail!$C$4:$C$255, [1]Summary!$B35, [1]Detail!$M$4:$M$255)</f>
        <v>0</v>
      </c>
      <c r="Q35" s="10">
        <f>SUMIF([1]Detail!$C$4:$C$255, [1]Summary!$B35, [1]Detail!$N$4:$N$255)</f>
        <v>0</v>
      </c>
      <c r="R35" s="11">
        <f t="shared" si="4"/>
        <v>7.2759576141834259E-12</v>
      </c>
      <c r="S35" s="11"/>
    </row>
    <row r="36" spans="1:19" x14ac:dyDescent="0.25">
      <c r="A36" s="15" t="s">
        <v>25</v>
      </c>
      <c r="B36" s="14" t="s">
        <v>76</v>
      </c>
      <c r="C36" s="6">
        <f>94297-27500-4900</f>
        <v>61897</v>
      </c>
      <c r="D36" s="7">
        <f>SUMIF([1]Detail!$C$4:$C$461,[1]Summary!$B36,[1]Detail!$F$4:$F$461)</f>
        <v>53816.23000000001</v>
      </c>
      <c r="E36" s="7">
        <f>SUMIF([1]Detail!$C$4:$C$461,[1]Summary!$B36,[1]Detail!$G$4:$G$461)</f>
        <v>8860.5299999999988</v>
      </c>
      <c r="F36" s="8">
        <f t="shared" si="0"/>
        <v>1.0125977026350228</v>
      </c>
      <c r="G36" s="9">
        <f t="shared" si="1"/>
        <v>8.3399999999892316</v>
      </c>
      <c r="H36" s="7">
        <f>SUMIF([1]Detail!$C$4:$C$461,[1]Summary!$B36,[1]Detail!$H$4:$H$461)</f>
        <v>53816.23000000001</v>
      </c>
      <c r="I36" s="7">
        <f>SUMIF([1]Detail!$C$4:$C$461,[1]Summary!$B36,[1]Detail!$I$4:$I$461)</f>
        <v>8072.43</v>
      </c>
      <c r="J36" s="7">
        <f t="shared" si="5"/>
        <v>61888.660000000011</v>
      </c>
      <c r="K36" s="7">
        <f t="shared" si="2"/>
        <v>8072.4345000000012</v>
      </c>
      <c r="L36" s="7">
        <f t="shared" si="3"/>
        <v>4.5000000009167707E-3</v>
      </c>
      <c r="M36" s="7">
        <f>SUMIF([1]Detail!$C$4:$C$461,[1]Summary!$B36,[1]Detail!$J$4:$J$461)</f>
        <v>0</v>
      </c>
      <c r="N36" s="7">
        <f>SUMIF([1]Detail!$C$4:$C$461,[1]Summary!$B36,[1]Detail!$K$4:$K$461)</f>
        <v>788.10000000000036</v>
      </c>
      <c r="O36" s="7">
        <f>SUMIF([1]Detail!$C$4:$C$461,[1]Summary!$B36,[1]Detail!$L$4:$L$461)</f>
        <v>0</v>
      </c>
      <c r="P36" s="7">
        <f>SUMIF([1]Detail!$C$4:$C$255, [1]Summary!$B36, [1]Detail!$M$4:$M$255)</f>
        <v>0</v>
      </c>
      <c r="Q36" s="10">
        <f>SUMIF([1]Detail!$C$4:$C$255, [1]Summary!$B36, [1]Detail!$N$4:$N$255)</f>
        <v>0</v>
      </c>
      <c r="R36" s="11">
        <f t="shared" si="4"/>
        <v>-1.8189894035458565E-12</v>
      </c>
      <c r="S36" s="11"/>
    </row>
    <row r="37" spans="1:19" s="12" customFormat="1" x14ac:dyDescent="0.25">
      <c r="A37" s="13" t="s">
        <v>25</v>
      </c>
      <c r="B37" s="14" t="s">
        <v>77</v>
      </c>
      <c r="C37" s="6">
        <f>200301+2100</f>
        <v>202401</v>
      </c>
      <c r="D37" s="7">
        <f>SUMIF([1]Detail!$C$4:$C$461,[1]Summary!$B37,[1]Detail!$F$4:$F$461)</f>
        <v>175989.2</v>
      </c>
      <c r="E37" s="7">
        <f>SUMIF([1]Detail!$C$4:$C$461,[1]Summary!$B37,[1]Detail!$G$4:$G$461)</f>
        <v>27161.65</v>
      </c>
      <c r="F37" s="8">
        <f t="shared" si="0"/>
        <v>1.0037047741858984</v>
      </c>
      <c r="G37" s="9">
        <f t="shared" si="1"/>
        <v>13.419999999983702</v>
      </c>
      <c r="H37" s="7">
        <f>SUMIF([1]Detail!$C$4:$C$461,[1]Summary!$B37,[1]Detail!$H$4:$H$461)</f>
        <v>175989.2</v>
      </c>
      <c r="I37" s="7">
        <f>SUMIF([1]Detail!$C$4:$C$461,[1]Summary!$B37,[1]Detail!$I$4:$I$461)</f>
        <v>26398.38</v>
      </c>
      <c r="J37" s="7">
        <f t="shared" si="5"/>
        <v>202387.58000000002</v>
      </c>
      <c r="K37" s="7">
        <f t="shared" si="2"/>
        <v>26398.38</v>
      </c>
      <c r="L37" s="7">
        <f t="shared" si="3"/>
        <v>0</v>
      </c>
      <c r="M37" s="7">
        <f>SUMIF([1]Detail!$C$4:$C$461,[1]Summary!$B37,[1]Detail!$J$4:$J$461)</f>
        <v>0</v>
      </c>
      <c r="N37" s="7">
        <f>SUMIF([1]Detail!$C$4:$C$461,[1]Summary!$B37,[1]Detail!$K$4:$K$461)</f>
        <v>763.27000000000135</v>
      </c>
      <c r="O37" s="7">
        <f>SUMIF([1]Detail!$C$4:$C$461,[1]Summary!$B37,[1]Detail!$L$4:$L$461)</f>
        <v>0</v>
      </c>
      <c r="P37" s="7">
        <f>SUMIF([1]Detail!$C$4:$C$255, [1]Summary!$B37, [1]Detail!$M$4:$M$255)</f>
        <v>0</v>
      </c>
      <c r="Q37" s="10">
        <f>SUMIF([1]Detail!$C$4:$C$255, [1]Summary!$B37, [1]Detail!$N$4:$N$255)</f>
        <v>0</v>
      </c>
      <c r="R37" s="11">
        <f t="shared" si="4"/>
        <v>-8.1854523159563541E-12</v>
      </c>
      <c r="S37" s="11"/>
    </row>
    <row r="38" spans="1:19" s="12" customFormat="1" x14ac:dyDescent="0.25">
      <c r="A38" s="13" t="s">
        <v>42</v>
      </c>
      <c r="B38" s="14" t="s">
        <v>78</v>
      </c>
      <c r="C38" s="6">
        <f>469401-80000</f>
        <v>389401</v>
      </c>
      <c r="D38" s="7">
        <f>SUMIF([1]Detail!$C$4:$C$461,[1]Summary!$B38,[1]Detail!$F$4:$F$461)</f>
        <v>237036.24</v>
      </c>
      <c r="E38" s="7">
        <f>SUMIF([1]Detail!$C$4:$C$461,[1]Summary!$B38,[1]Detail!$G$4:$G$461)</f>
        <v>179048.66</v>
      </c>
      <c r="F38" s="8">
        <f t="shared" si="0"/>
        <v>1.0685255045569992</v>
      </c>
      <c r="G38" s="9">
        <f t="shared" si="1"/>
        <v>116809.3235</v>
      </c>
      <c r="H38" s="7">
        <f>SUMIF([1]Detail!$C$4:$C$461,[1]Summary!$B38,[1]Detail!$H$4:$H$461)</f>
        <v>237036.24</v>
      </c>
      <c r="I38" s="7">
        <f>SUMIF([1]Detail!$C$4:$C$461,[1]Summary!$B38,[1]Detail!$I$4:$I$461)</f>
        <v>35555.436500000003</v>
      </c>
      <c r="J38" s="7">
        <f t="shared" si="5"/>
        <v>272591.6765</v>
      </c>
      <c r="K38" s="7">
        <f t="shared" si="2"/>
        <v>35555.435999999994</v>
      </c>
      <c r="L38" s="7">
        <f t="shared" si="3"/>
        <v>-5.0000000919681042E-4</v>
      </c>
      <c r="M38" s="7">
        <f>SUMIF([1]Detail!$C$4:$C$461,[1]Summary!$B38,[1]Detail!$J$4:$J$461)</f>
        <v>0</v>
      </c>
      <c r="N38" s="7">
        <f>SUMIF([1]Detail!$C$4:$C$461,[1]Summary!$B38,[1]Detail!$K$4:$K$461)</f>
        <v>143493.22349999999</v>
      </c>
      <c r="O38" s="7">
        <f>SUMIF([1]Detail!$C$4:$C$461,[1]Summary!$B38,[1]Detail!$L$4:$L$461)</f>
        <v>0</v>
      </c>
      <c r="P38" s="7">
        <f>SUMIF([1]Detail!$C$4:$C$255, [1]Summary!$B38, [1]Detail!$M$4:$M$255)</f>
        <v>0</v>
      </c>
      <c r="Q38" s="10">
        <f>SUMIF([1]Detail!$C$4:$C$255, [1]Summary!$B38, [1]Detail!$N$4:$N$255)</f>
        <v>0</v>
      </c>
      <c r="R38" s="11">
        <f t="shared" si="4"/>
        <v>2.9103830456733704E-11</v>
      </c>
      <c r="S38" s="11"/>
    </row>
    <row r="39" spans="1:19" s="12" customFormat="1" x14ac:dyDescent="0.25">
      <c r="A39" s="13" t="s">
        <v>79</v>
      </c>
      <c r="B39" s="14" t="s">
        <v>80</v>
      </c>
      <c r="C39" s="6">
        <v>506255</v>
      </c>
      <c r="D39" s="7">
        <f>SUMIF([1]Detail!$C$4:$C$461,[1]Summary!$B39,[1]Detail!$F$4:$F$461)</f>
        <v>435264.64</v>
      </c>
      <c r="E39" s="7">
        <f>SUMIF([1]Detail!$C$4:$C$461,[1]Summary!$B39,[1]Detail!$G$4:$G$461)</f>
        <v>182730.7</v>
      </c>
      <c r="F39" s="8">
        <f t="shared" si="0"/>
        <v>1.2207194793137848</v>
      </c>
      <c r="G39" s="9">
        <f t="shared" si="1"/>
        <v>5700.6829999999609</v>
      </c>
      <c r="H39" s="7">
        <f>SUMIF([1]Detail!$C$4:$C$461,[1]Summary!$B39,[1]Detail!$H$4:$H$461)</f>
        <v>435264.64</v>
      </c>
      <c r="I39" s="7">
        <f>SUMIF([1]Detail!$C$4:$C$461,[1]Summary!$B39,[1]Detail!$I$4:$I$461)</f>
        <v>65289.677000000003</v>
      </c>
      <c r="J39" s="7">
        <f t="shared" si="5"/>
        <v>500554.31700000004</v>
      </c>
      <c r="K39" s="7">
        <f t="shared" si="2"/>
        <v>65289.695999999996</v>
      </c>
      <c r="L39" s="7">
        <f t="shared" si="3"/>
        <v>1.8999999992956873E-2</v>
      </c>
      <c r="M39" s="7">
        <f>SUMIF([1]Detail!$C$4:$C$461,[1]Summary!$B39,[1]Detail!$J$4:$J$461)</f>
        <v>0</v>
      </c>
      <c r="N39" s="7">
        <f>SUMIF([1]Detail!$C$4:$C$461,[1]Summary!$B39,[1]Detail!$K$4:$K$461)</f>
        <v>117441.023</v>
      </c>
      <c r="O39" s="7">
        <f>SUMIF([1]Detail!$C$4:$C$461,[1]Summary!$B39,[1]Detail!$L$4:$L$461)</f>
        <v>0</v>
      </c>
      <c r="P39" s="7">
        <f>SUMIF([1]Detail!$C$4:$C$255, [1]Summary!$B39, [1]Detail!$M$4:$M$255)</f>
        <v>0</v>
      </c>
      <c r="Q39" s="10">
        <f>SUMIF([1]Detail!$C$4:$C$255, [1]Summary!$B39, [1]Detail!$N$4:$N$255)</f>
        <v>0</v>
      </c>
      <c r="R39" s="11">
        <f t="shared" si="4"/>
        <v>7.2759576141834259E-11</v>
      </c>
      <c r="S39" s="11"/>
    </row>
    <row r="40" spans="1:19" x14ac:dyDescent="0.25">
      <c r="A40" s="15" t="s">
        <v>81</v>
      </c>
      <c r="B40" s="14" t="s">
        <v>82</v>
      </c>
      <c r="C40" s="6">
        <f>132368-64700</f>
        <v>67668</v>
      </c>
      <c r="D40" s="7">
        <f>SUMIF([1]Detail!$C$4:$C$461,[1]Summary!$B40,[1]Detail!$F$4:$F$461)</f>
        <v>52774.71</v>
      </c>
      <c r="E40" s="7">
        <f>SUMIF([1]Detail!$C$4:$C$461,[1]Summary!$B40,[1]Detail!$G$4:$G$461)</f>
        <v>7682.9699999999993</v>
      </c>
      <c r="F40" s="8">
        <f t="shared" si="0"/>
        <v>0.89344564639120416</v>
      </c>
      <c r="G40" s="9">
        <f t="shared" si="1"/>
        <v>7210.3215000000055</v>
      </c>
      <c r="H40" s="7">
        <f>SUMIF([1]Detail!$C$4:$C$461,[1]Summary!$B40,[1]Detail!$H$4:$H$461)</f>
        <v>52774.71</v>
      </c>
      <c r="I40" s="7">
        <f>SUMIF([1]Detail!$C$4:$C$461,[1]Summary!$B40,[1]Detail!$I$4:$I$461)</f>
        <v>7682.968499999999</v>
      </c>
      <c r="J40" s="7">
        <f t="shared" si="5"/>
        <v>60457.678499999995</v>
      </c>
      <c r="K40" s="7">
        <f t="shared" si="2"/>
        <v>7916.2064999999993</v>
      </c>
      <c r="L40" s="7">
        <f t="shared" si="3"/>
        <v>233.23800000000028</v>
      </c>
      <c r="M40" s="7">
        <f>SUMIF([1]Detail!$C$4:$C$461,[1]Summary!$B40,[1]Detail!$J$4:$J$461)</f>
        <v>0</v>
      </c>
      <c r="N40" s="7">
        <f>SUMIF([1]Detail!$C$4:$C$461,[1]Summary!$B40,[1]Detail!$K$4:$K$461)</f>
        <v>1.5000000000782165E-3</v>
      </c>
      <c r="O40" s="7">
        <f>SUMIF([1]Detail!$C$4:$C$461,[1]Summary!$B40,[1]Detail!$L$4:$L$461)</f>
        <v>0</v>
      </c>
      <c r="P40" s="7">
        <f>SUMIF([1]Detail!$C$4:$C$255, [1]Summary!$B40, [1]Detail!$M$4:$M$255)</f>
        <v>0</v>
      </c>
      <c r="Q40" s="10">
        <f>SUMIF([1]Detail!$C$4:$C$255, [1]Summary!$B40, [1]Detail!$N$4:$N$255)</f>
        <v>0</v>
      </c>
      <c r="R40" s="11">
        <f t="shared" si="4"/>
        <v>2.0463630789890885E-12</v>
      </c>
      <c r="S40" s="11"/>
    </row>
    <row r="41" spans="1:19" s="12" customFormat="1" x14ac:dyDescent="0.25">
      <c r="A41" s="13" t="s">
        <v>83</v>
      </c>
      <c r="B41" s="14" t="s">
        <v>84</v>
      </c>
      <c r="C41" s="6">
        <f>134326-20800</f>
        <v>113526</v>
      </c>
      <c r="D41" s="7">
        <f>SUMIF([1]Detail!$C$4:$C$461,[1]Summary!$B41,[1]Detail!$F$4:$F$461)</f>
        <v>89232.4</v>
      </c>
      <c r="E41" s="7">
        <f>SUMIF([1]Detail!$C$4:$C$461,[1]Summary!$B41,[1]Detail!$G$4:$G$461)</f>
        <v>19919.64</v>
      </c>
      <c r="F41" s="8">
        <f t="shared" si="0"/>
        <v>0.96147173334742697</v>
      </c>
      <c r="G41" s="9">
        <f t="shared" si="1"/>
        <v>10908.752000000008</v>
      </c>
      <c r="H41" s="7">
        <f>SUMIF([1]Detail!$C$4:$C$461,[1]Summary!$B41,[1]Detail!$H$4:$H$461)</f>
        <v>89232.4</v>
      </c>
      <c r="I41" s="7">
        <f>SUMIF([1]Detail!$C$4:$C$461,[1]Summary!$B41,[1]Detail!$I$4:$I$461)</f>
        <v>13384.848</v>
      </c>
      <c r="J41" s="7">
        <f t="shared" si="5"/>
        <v>102617.24799999999</v>
      </c>
      <c r="K41" s="7">
        <f t="shared" si="2"/>
        <v>13384.859999999999</v>
      </c>
      <c r="L41" s="7">
        <f t="shared" si="3"/>
        <v>1.1999999998806743E-2</v>
      </c>
      <c r="M41" s="7">
        <f>SUMIF([1]Detail!$C$4:$C$461,[1]Summary!$B41,[1]Detail!$J$4:$J$461)</f>
        <v>0</v>
      </c>
      <c r="N41" s="7">
        <f>SUMIF([1]Detail!$C$4:$C$461,[1]Summary!$B41,[1]Detail!$K$4:$K$461)</f>
        <v>6534.7920000000004</v>
      </c>
      <c r="O41" s="7">
        <f>SUMIF([1]Detail!$C$4:$C$461,[1]Summary!$B41,[1]Detail!$L$4:$L$461)</f>
        <v>0</v>
      </c>
      <c r="P41" s="7">
        <f>SUMIF([1]Detail!$C$4:$C$255, [1]Summary!$B41, [1]Detail!$M$4:$M$255)</f>
        <v>0</v>
      </c>
      <c r="Q41" s="10">
        <f>SUMIF([1]Detail!$C$4:$C$255, [1]Summary!$B41, [1]Detail!$N$4:$N$255)</f>
        <v>0</v>
      </c>
      <c r="R41" s="11">
        <f t="shared" si="4"/>
        <v>-9.0949470177292824E-13</v>
      </c>
      <c r="S41" s="11"/>
    </row>
    <row r="42" spans="1:19" x14ac:dyDescent="0.25">
      <c r="A42" s="15" t="s">
        <v>85</v>
      </c>
      <c r="B42" s="14" t="s">
        <v>86</v>
      </c>
      <c r="C42" s="6">
        <f>321594-149000+6069.15</f>
        <v>178663.15</v>
      </c>
      <c r="D42" s="7">
        <f>SUMIF([1]Detail!$C$4:$C$461,[1]Summary!$B42,[1]Detail!$F$4:$F$461)</f>
        <v>155359.26</v>
      </c>
      <c r="E42" s="7">
        <f>SUMIF([1]Detail!$C$4:$C$461,[1]Summary!$B42,[1]Detail!$G$4:$G$461)</f>
        <v>24014.799999999999</v>
      </c>
      <c r="F42" s="8">
        <f t="shared" si="0"/>
        <v>1.0039790521996281</v>
      </c>
      <c r="G42" s="9">
        <f t="shared" si="1"/>
        <v>-2.9103830456733704E-11</v>
      </c>
      <c r="H42" s="7">
        <f>SUMIF([1]Detail!$C$4:$C$461,[1]Summary!$B42,[1]Detail!$H$4:$H$461)</f>
        <v>155359.26</v>
      </c>
      <c r="I42" s="7">
        <f>SUMIF([1]Detail!$C$4:$C$461,[1]Summary!$B42,[1]Detail!$I$4:$I$461)</f>
        <v>23303.89</v>
      </c>
      <c r="J42" s="7">
        <f t="shared" si="5"/>
        <v>178663.15000000002</v>
      </c>
      <c r="K42" s="7">
        <f t="shared" si="2"/>
        <v>23303.888999999999</v>
      </c>
      <c r="L42" s="7">
        <f t="shared" si="3"/>
        <v>-1.0000000002037268E-3</v>
      </c>
      <c r="M42" s="7">
        <f>SUMIF([1]Detail!$C$4:$C$461,[1]Summary!$B42,[1]Detail!$J$4:$J$461)</f>
        <v>0</v>
      </c>
      <c r="N42" s="7">
        <f>SUMIF([1]Detail!$C$4:$C$461,[1]Summary!$B42,[1]Detail!$K$4:$K$461)</f>
        <v>710.90999999999985</v>
      </c>
      <c r="O42" s="7">
        <f>SUMIF([1]Detail!$C$4:$C$461,[1]Summary!$B42,[1]Detail!$L$4:$L$461)</f>
        <v>0</v>
      </c>
      <c r="P42" s="7">
        <f>SUMIF([1]Detail!$C$4:$C$255, [1]Summary!$B42, [1]Detail!$M$4:$M$255)</f>
        <v>0</v>
      </c>
      <c r="Q42" s="10">
        <f>SUMIF([1]Detail!$C$4:$C$255, [1]Summary!$B42, [1]Detail!$N$4:$N$255)</f>
        <v>0</v>
      </c>
      <c r="R42" s="11">
        <f t="shared" si="4"/>
        <v>-1.0913936421275139E-11</v>
      </c>
      <c r="S42" s="11"/>
    </row>
    <row r="43" spans="1:19" x14ac:dyDescent="0.25">
      <c r="A43" s="15" t="s">
        <v>25</v>
      </c>
      <c r="B43" s="14" t="s">
        <v>87</v>
      </c>
      <c r="C43" s="6">
        <f>55366-7500-3800</f>
        <v>44066</v>
      </c>
      <c r="D43" s="7">
        <f>SUMIF([1]Detail!$C$4:$C$461,[1]Summary!$B43,[1]Detail!$F$4:$F$461)</f>
        <v>38300.270000000004</v>
      </c>
      <c r="E43" s="7">
        <f>SUMIF([1]Detail!$C$4:$C$461,[1]Summary!$B43,[1]Detail!$G$4:$G$461)</f>
        <v>6778.5499999999993</v>
      </c>
      <c r="F43" s="8">
        <f t="shared" si="0"/>
        <v>1.0229841601234513</v>
      </c>
      <c r="G43" s="9">
        <f t="shared" si="1"/>
        <v>20.689999999995052</v>
      </c>
      <c r="H43" s="7">
        <f>SUMIF([1]Detail!$C$4:$C$461,[1]Summary!$B43,[1]Detail!$H$4:$H$461)</f>
        <v>38300.270000000004</v>
      </c>
      <c r="I43" s="7">
        <f>SUMIF([1]Detail!$C$4:$C$461,[1]Summary!$B43,[1]Detail!$I$4:$I$461)</f>
        <v>5745.04</v>
      </c>
      <c r="J43" s="7">
        <f t="shared" si="5"/>
        <v>44045.310000000005</v>
      </c>
      <c r="K43" s="7">
        <f t="shared" si="2"/>
        <v>5745.0405000000001</v>
      </c>
      <c r="L43" s="7">
        <f t="shared" si="3"/>
        <v>5.0000000010186341E-4</v>
      </c>
      <c r="M43" s="7">
        <f>SUMIF([1]Detail!$C$4:$C$461,[1]Summary!$B43,[1]Detail!$J$4:$J$461)</f>
        <v>0</v>
      </c>
      <c r="N43" s="7">
        <f>SUMIF([1]Detail!$C$4:$C$461,[1]Summary!$B43,[1]Detail!$K$4:$K$461)</f>
        <v>1033.5100000000002</v>
      </c>
      <c r="O43" s="7">
        <f>SUMIF([1]Detail!$C$4:$C$461,[1]Summary!$B43,[1]Detail!$L$4:$L$461)</f>
        <v>0</v>
      </c>
      <c r="P43" s="7">
        <f>SUMIF([1]Detail!$C$4:$C$255, [1]Summary!$B43, [1]Detail!$M$4:$M$255)</f>
        <v>0</v>
      </c>
      <c r="Q43" s="10">
        <f>SUMIF([1]Detail!$C$4:$C$255, [1]Summary!$B43, [1]Detail!$N$4:$N$255)</f>
        <v>0</v>
      </c>
      <c r="R43" s="11">
        <f t="shared" si="4"/>
        <v>2.7284841053187847E-12</v>
      </c>
      <c r="S43" s="11"/>
    </row>
    <row r="44" spans="1:19" s="12" customFormat="1" x14ac:dyDescent="0.25">
      <c r="A44" s="13" t="s">
        <v>25</v>
      </c>
      <c r="B44" s="14" t="s">
        <v>88</v>
      </c>
      <c r="C44" s="6">
        <f>72411+25000-9600</f>
        <v>87811</v>
      </c>
      <c r="D44" s="7">
        <f>SUMIF([1]Detail!$C$4:$C$461,[1]Summary!$B44,[1]Detail!$F$4:$F$461)</f>
        <v>76325.170000000013</v>
      </c>
      <c r="E44" s="7">
        <f>SUMIF([1]Detail!$C$4:$C$461,[1]Summary!$B44,[1]Detail!$G$4:$G$461)</f>
        <v>12999.68</v>
      </c>
      <c r="F44" s="8">
        <f t="shared" si="0"/>
        <v>1.0172398674425756</v>
      </c>
      <c r="G44" s="9">
        <f t="shared" si="1"/>
        <v>37.05999999998312</v>
      </c>
      <c r="H44" s="7">
        <f>SUMIF([1]Detail!$C$4:$C$461,[1]Summary!$B44,[1]Detail!$H$4:$H$461)</f>
        <v>76325.170000000013</v>
      </c>
      <c r="I44" s="7">
        <f>SUMIF([1]Detail!$C$4:$C$461,[1]Summary!$B44,[1]Detail!$I$4:$I$461)</f>
        <v>11448.77</v>
      </c>
      <c r="J44" s="7">
        <f t="shared" si="5"/>
        <v>87773.940000000017</v>
      </c>
      <c r="K44" s="7">
        <f t="shared" si="2"/>
        <v>11448.775500000002</v>
      </c>
      <c r="L44" s="7">
        <f t="shared" si="3"/>
        <v>5.5000000011204975E-3</v>
      </c>
      <c r="M44" s="7">
        <f>SUMIF([1]Detail!$C$4:$C$461,[1]Summary!$B44,[1]Detail!$J$4:$J$461)</f>
        <v>0</v>
      </c>
      <c r="N44" s="7">
        <f>SUMIF([1]Detail!$C$4:$C$461,[1]Summary!$B44,[1]Detail!$K$4:$K$461)</f>
        <v>1550.9100000000008</v>
      </c>
      <c r="O44" s="7">
        <f>SUMIF([1]Detail!$C$4:$C$461,[1]Summary!$B44,[1]Detail!$L$4:$L$461)</f>
        <v>0</v>
      </c>
      <c r="P44" s="7">
        <f>SUMIF([1]Detail!$C$4:$C$255, [1]Summary!$B44, [1]Detail!$M$4:$M$255)</f>
        <v>0</v>
      </c>
      <c r="Q44" s="10">
        <f>SUMIF([1]Detail!$C$4:$C$255, [1]Summary!$B44, [1]Detail!$N$4:$N$255)</f>
        <v>0</v>
      </c>
      <c r="R44" s="11">
        <f t="shared" si="4"/>
        <v>-8.1854523159563541E-12</v>
      </c>
      <c r="S44" s="11"/>
    </row>
    <row r="45" spans="1:19" x14ac:dyDescent="0.25">
      <c r="A45" s="15" t="s">
        <v>25</v>
      </c>
      <c r="B45" s="14" t="s">
        <v>89</v>
      </c>
      <c r="C45" s="6">
        <f>152640+50000-6200</f>
        <v>196440</v>
      </c>
      <c r="D45" s="7">
        <f>SUMIF([1]Detail!$C$4:$C$461,[1]Summary!$B45,[1]Detail!$F$4:$F$461)</f>
        <v>170793.68</v>
      </c>
      <c r="E45" s="7">
        <f>SUMIF([1]Detail!$C$4:$C$461,[1]Summary!$B45,[1]Detail!$G$4:$G$461)</f>
        <v>25665.02</v>
      </c>
      <c r="F45" s="8">
        <f t="shared" si="0"/>
        <v>1.0000951944614132</v>
      </c>
      <c r="G45" s="9">
        <f t="shared" si="1"/>
        <v>27.270000000018626</v>
      </c>
      <c r="H45" s="7">
        <f>SUMIF([1]Detail!$C$4:$C$461,[1]Summary!$B45,[1]Detail!$H$4:$H$461)</f>
        <v>170793.68</v>
      </c>
      <c r="I45" s="7">
        <f>SUMIF([1]Detail!$C$4:$C$461,[1]Summary!$B45,[1]Detail!$I$4:$I$461)</f>
        <v>25619.05</v>
      </c>
      <c r="J45" s="7">
        <f t="shared" si="5"/>
        <v>196412.72999999998</v>
      </c>
      <c r="K45" s="7">
        <f t="shared" si="2"/>
        <v>25619.052</v>
      </c>
      <c r="L45" s="7">
        <f t="shared" si="3"/>
        <v>2.0000000004074536E-3</v>
      </c>
      <c r="M45" s="7">
        <f>SUMIF([1]Detail!$C$4:$C$461,[1]Summary!$B45,[1]Detail!$J$4:$J$461)</f>
        <v>0</v>
      </c>
      <c r="N45" s="7">
        <f>SUMIF([1]Detail!$C$4:$C$461,[1]Summary!$B45,[1]Detail!$K$4:$K$461)</f>
        <v>45.969999999999345</v>
      </c>
      <c r="O45" s="7">
        <f>SUMIF([1]Detail!$C$4:$C$461,[1]Summary!$B45,[1]Detail!$L$4:$L$461)</f>
        <v>0</v>
      </c>
      <c r="P45" s="7">
        <f>SUMIF([1]Detail!$C$4:$C$255, [1]Summary!$B45, [1]Detail!$M$4:$M$255)</f>
        <v>0</v>
      </c>
      <c r="Q45" s="10">
        <f>SUMIF([1]Detail!$C$4:$C$255, [1]Summary!$B45, [1]Detail!$N$4:$N$255)</f>
        <v>0</v>
      </c>
      <c r="R45" s="11">
        <f t="shared" si="4"/>
        <v>-9.0949470177292824E-12</v>
      </c>
      <c r="S45" s="11"/>
    </row>
    <row r="46" spans="1:19" s="12" customFormat="1" ht="14.25" customHeight="1" x14ac:dyDescent="0.25">
      <c r="A46" s="13" t="s">
        <v>90</v>
      </c>
      <c r="B46" s="14" t="s">
        <v>91</v>
      </c>
      <c r="C46" s="6">
        <f>68121-20000</f>
        <v>48121</v>
      </c>
      <c r="D46" s="7">
        <f>SUMIF([1]Detail!$C$4:$C$461,[1]Summary!$B46,[1]Detail!$F$4:$F$461)</f>
        <v>44523.25</v>
      </c>
      <c r="E46" s="7">
        <f>SUMIF([1]Detail!$C$4:$C$461,[1]Summary!$B46,[1]Detail!$G$4:$G$461)</f>
        <v>2043.63</v>
      </c>
      <c r="F46" s="8">
        <f t="shared" si="0"/>
        <v>0.96770391305251335</v>
      </c>
      <c r="G46" s="9">
        <f t="shared" si="1"/>
        <v>1554.1200000000026</v>
      </c>
      <c r="H46" s="7">
        <f>SUMIF([1]Detail!$C$4:$C$461,[1]Summary!$B46,[1]Detail!$H$4:$H$461)</f>
        <v>44523.25</v>
      </c>
      <c r="I46" s="7">
        <f>SUMIF([1]Detail!$C$4:$C$461,[1]Summary!$B46,[1]Detail!$I$4:$I$461)</f>
        <v>2043.63</v>
      </c>
      <c r="J46" s="7">
        <f t="shared" si="5"/>
        <v>46566.879999999997</v>
      </c>
      <c r="K46" s="7">
        <f t="shared" si="2"/>
        <v>6678.4875000000002</v>
      </c>
      <c r="L46" s="7">
        <f t="shared" si="3"/>
        <v>4634.8575000000001</v>
      </c>
      <c r="M46" s="7">
        <f>SUMIF([1]Detail!$C$4:$C$461,[1]Summary!$B46,[1]Detail!$J$4:$J$461)</f>
        <v>0</v>
      </c>
      <c r="N46" s="7">
        <f>SUMIF([1]Detail!$C$4:$C$461,[1]Summary!$B46,[1]Detail!$K$4:$K$461)</f>
        <v>0</v>
      </c>
      <c r="O46" s="7">
        <f>SUMIF([1]Detail!$C$4:$C$461,[1]Summary!$B46,[1]Detail!$L$4:$L$461)</f>
        <v>0</v>
      </c>
      <c r="P46" s="7">
        <f>SUMIF([1]Detail!$C$4:$C$255, [1]Summary!$B46, [1]Detail!$M$4:$M$255)</f>
        <v>0</v>
      </c>
      <c r="Q46" s="10">
        <f>SUMIF([1]Detail!$C$4:$C$255, [1]Summary!$B46, [1]Detail!$N$4:$N$255)</f>
        <v>0</v>
      </c>
      <c r="R46" s="11">
        <f t="shared" si="4"/>
        <v>-2.7284841053187847E-12</v>
      </c>
      <c r="S46" s="11"/>
    </row>
    <row r="47" spans="1:19" s="12" customFormat="1" x14ac:dyDescent="0.25">
      <c r="A47" s="13" t="s">
        <v>92</v>
      </c>
      <c r="B47" s="14" t="s">
        <v>93</v>
      </c>
      <c r="C47" s="6">
        <v>189105</v>
      </c>
      <c r="D47" s="7">
        <f>SUMIF([1]Detail!$C$4:$C$461,[1]Summary!$B47,[1]Detail!$F$4:$F$461)</f>
        <v>93988.51999999999</v>
      </c>
      <c r="E47" s="7">
        <f>SUMIF([1]Detail!$C$4:$C$461,[1]Summary!$B47,[1]Detail!$G$4:$G$461)</f>
        <v>31458.940000000002</v>
      </c>
      <c r="F47" s="8">
        <f t="shared" si="0"/>
        <v>0.66337463314031886</v>
      </c>
      <c r="G47" s="9">
        <f t="shared" si="1"/>
        <v>81018.204500000007</v>
      </c>
      <c r="H47" s="7">
        <f>SUMIF([1]Detail!$C$4:$C$461,[1]Summary!$B47,[1]Detail!$H$4:$H$461)</f>
        <v>93988.51999999999</v>
      </c>
      <c r="I47" s="7">
        <f>SUMIF([1]Detail!$C$4:$C$461,[1]Summary!$B47,[1]Detail!$I$4:$I$461)</f>
        <v>14098.2755</v>
      </c>
      <c r="J47" s="7">
        <f t="shared" si="5"/>
        <v>108086.79549999999</v>
      </c>
      <c r="K47" s="7">
        <f t="shared" si="2"/>
        <v>14098.277999999998</v>
      </c>
      <c r="L47" s="7">
        <f t="shared" si="3"/>
        <v>2.4999999986903276E-3</v>
      </c>
      <c r="M47" s="7">
        <f>SUMIF([1]Detail!$C$4:$C$461,[1]Summary!$B47,[1]Detail!$J$4:$J$461)</f>
        <v>0</v>
      </c>
      <c r="N47" s="7">
        <f>SUMIF([1]Detail!$C$4:$C$461,[1]Summary!$B47,[1]Detail!$K$4:$K$461)</f>
        <v>17360.664499999999</v>
      </c>
      <c r="O47" s="7">
        <f>SUMIF([1]Detail!$C$4:$C$461,[1]Summary!$B47,[1]Detail!$L$4:$L$461)</f>
        <v>0</v>
      </c>
      <c r="P47" s="7">
        <f>SUMIF([1]Detail!$C$4:$C$255, [1]Summary!$B47, [1]Detail!$M$4:$M$255)</f>
        <v>0</v>
      </c>
      <c r="Q47" s="10">
        <f>SUMIF([1]Detail!$C$4:$C$255, [1]Summary!$B47, [1]Detail!$N$4:$N$255)</f>
        <v>0</v>
      </c>
      <c r="R47" s="11">
        <f t="shared" si="4"/>
        <v>3.637978807091713E-12</v>
      </c>
      <c r="S47" s="11"/>
    </row>
    <row r="48" spans="1:19" x14ac:dyDescent="0.25">
      <c r="A48" s="15" t="s">
        <v>25</v>
      </c>
      <c r="B48" s="14" t="s">
        <v>94</v>
      </c>
      <c r="C48" s="6">
        <f>622553+19700</f>
        <v>642253</v>
      </c>
      <c r="D48" s="7">
        <f>SUMIF([1]Detail!$C$4:$C$461,[1]Summary!$B48,[1]Detail!$F$4:$F$461)</f>
        <v>558478.94000000006</v>
      </c>
      <c r="E48" s="7">
        <f>SUMIF([1]Detail!$C$4:$C$461,[1]Summary!$B48,[1]Detail!$G$4:$G$461)</f>
        <v>83775.61</v>
      </c>
      <c r="F48" s="8">
        <f t="shared" si="0"/>
        <v>1.0000024133791512</v>
      </c>
      <c r="G48" s="9">
        <f t="shared" si="1"/>
        <v>2.2199999999720603</v>
      </c>
      <c r="H48" s="7">
        <f>SUMIF([1]Detail!$C$4:$C$461,[1]Summary!$B48,[1]Detail!$H$4:$H$461)</f>
        <v>558478.94000000006</v>
      </c>
      <c r="I48" s="7">
        <f>SUMIF([1]Detail!$C$4:$C$461,[1]Summary!$B48,[1]Detail!$I$4:$I$461)</f>
        <v>83771.839999999997</v>
      </c>
      <c r="J48" s="7">
        <f t="shared" si="5"/>
        <v>642250.78</v>
      </c>
      <c r="K48" s="7">
        <f t="shared" si="2"/>
        <v>83771.841</v>
      </c>
      <c r="L48" s="7">
        <f t="shared" si="3"/>
        <v>1.0000000038417056E-3</v>
      </c>
      <c r="M48" s="7">
        <f>SUMIF([1]Detail!$C$4:$C$461,[1]Summary!$B48,[1]Detail!$J$4:$J$461)</f>
        <v>0</v>
      </c>
      <c r="N48" s="7">
        <f>SUMIF([1]Detail!$C$4:$C$461,[1]Summary!$B48,[1]Detail!$K$4:$K$461)</f>
        <v>3.7700000000022555</v>
      </c>
      <c r="O48" s="7">
        <f>SUMIF([1]Detail!$C$4:$C$461,[1]Summary!$B48,[1]Detail!$L$4:$L$461)</f>
        <v>0</v>
      </c>
      <c r="P48" s="7">
        <f>SUMIF([1]Detail!$C$4:$C$255, [1]Summary!$B48, [1]Detail!$M$4:$M$255)</f>
        <v>0</v>
      </c>
      <c r="Q48" s="10">
        <f>SUMIF([1]Detail!$C$4:$C$255, [1]Summary!$B48, [1]Detail!$N$4:$N$255)</f>
        <v>0</v>
      </c>
      <c r="R48" s="11">
        <f t="shared" si="4"/>
        <v>-1.2732925824820995E-11</v>
      </c>
      <c r="S48" s="11"/>
    </row>
    <row r="49" spans="1:19" x14ac:dyDescent="0.25">
      <c r="A49" s="15" t="s">
        <v>25</v>
      </c>
      <c r="B49" s="14" t="s">
        <v>95</v>
      </c>
      <c r="C49" s="6">
        <f>112506+10000+9700</f>
        <v>132206</v>
      </c>
      <c r="D49" s="7">
        <f>SUMIF([1]Detail!$C$4:$C$461,[1]Summary!$B49,[1]Detail!$F$4:$F$461)</f>
        <v>114960.05</v>
      </c>
      <c r="E49" s="7">
        <f>SUMIF([1]Detail!$C$4:$C$461,[1]Summary!$B49,[1]Detail!$G$4:$G$461)</f>
        <v>17713.45</v>
      </c>
      <c r="F49" s="8">
        <f t="shared" si="0"/>
        <v>1.0035361481324601</v>
      </c>
      <c r="G49" s="9">
        <f t="shared" si="1"/>
        <v>1.9400000000023283</v>
      </c>
      <c r="H49" s="7">
        <f>SUMIF([1]Detail!$C$4:$C$461,[1]Summary!$B49,[1]Detail!$H$4:$H$461)</f>
        <v>114960.05</v>
      </c>
      <c r="I49" s="7">
        <f>SUMIF([1]Detail!$C$4:$C$461,[1]Summary!$B49,[1]Detail!$I$4:$I$461)</f>
        <v>17244.009999999998</v>
      </c>
      <c r="J49" s="7">
        <f t="shared" si="5"/>
        <v>132204.06</v>
      </c>
      <c r="K49" s="7">
        <f t="shared" si="2"/>
        <v>17244.0075</v>
      </c>
      <c r="L49" s="7">
        <f t="shared" si="3"/>
        <v>-2.4999999986903276E-3</v>
      </c>
      <c r="M49" s="7">
        <f>SUMIF([1]Detail!$C$4:$C$461,[1]Summary!$B49,[1]Detail!$J$4:$J$461)</f>
        <v>0</v>
      </c>
      <c r="N49" s="7">
        <f>SUMIF([1]Detail!$C$4:$C$461,[1]Summary!$B49,[1]Detail!$K$4:$K$461)</f>
        <v>469.44000000000051</v>
      </c>
      <c r="O49" s="7">
        <f>SUMIF([1]Detail!$C$4:$C$461,[1]Summary!$B49,[1]Detail!$L$4:$L$461)</f>
        <v>0</v>
      </c>
      <c r="P49" s="7">
        <f>SUMIF([1]Detail!$C$4:$C$255, [1]Summary!$B49, [1]Detail!$M$4:$M$255)</f>
        <v>0</v>
      </c>
      <c r="Q49" s="10">
        <f>SUMIF([1]Detail!$C$4:$C$255, [1]Summary!$B49, [1]Detail!$N$4:$N$255)</f>
        <v>0</v>
      </c>
      <c r="R49" s="11">
        <f t="shared" si="4"/>
        <v>-1.8189894035458565E-12</v>
      </c>
      <c r="S49" s="11"/>
    </row>
    <row r="50" spans="1:19" x14ac:dyDescent="0.25">
      <c r="A50" s="15" t="s">
        <v>96</v>
      </c>
      <c r="B50" s="14" t="s">
        <v>97</v>
      </c>
      <c r="C50" s="6">
        <f>226846-110000</f>
        <v>116846</v>
      </c>
      <c r="D50" s="7">
        <f>SUMIF([1]Detail!$C$4:$C$461,[1]Summary!$B50,[1]Detail!$F$4:$F$461)</f>
        <v>64398.3</v>
      </c>
      <c r="E50" s="7">
        <f>SUMIF([1]Detail!$C$4:$C$461,[1]Summary!$B50,[1]Detail!$G$4:$G$461)</f>
        <v>22203.55</v>
      </c>
      <c r="F50" s="8">
        <f t="shared" si="0"/>
        <v>0.74116229909453468</v>
      </c>
      <c r="G50" s="9">
        <f t="shared" si="1"/>
        <v>42787.95</v>
      </c>
      <c r="H50" s="7">
        <f>SUMIF([1]Detail!$C$4:$C$461,[1]Summary!$B50,[1]Detail!$H$4:$H$461)</f>
        <v>64398.3</v>
      </c>
      <c r="I50" s="7">
        <f>SUMIF([1]Detail!$C$4:$C$461,[1]Summary!$B50,[1]Detail!$I$4:$I$461)</f>
        <v>9659.75</v>
      </c>
      <c r="J50" s="7">
        <f t="shared" si="5"/>
        <v>74058.05</v>
      </c>
      <c r="K50" s="7">
        <f t="shared" si="2"/>
        <v>9659.7450000000008</v>
      </c>
      <c r="L50" s="7">
        <f t="shared" si="3"/>
        <v>-4.9999999991996447E-3</v>
      </c>
      <c r="M50" s="7">
        <f>SUMIF([1]Detail!$C$4:$C$461,[1]Summary!$B50,[1]Detail!$J$4:$J$461)</f>
        <v>0</v>
      </c>
      <c r="N50" s="7">
        <f>SUMIF([1]Detail!$C$4:$C$461,[1]Summary!$B50,[1]Detail!$K$4:$K$461)</f>
        <v>12543.8</v>
      </c>
      <c r="O50" s="7">
        <f>SUMIF([1]Detail!$C$4:$C$461,[1]Summary!$B50,[1]Detail!$L$4:$L$461)</f>
        <v>0</v>
      </c>
      <c r="P50" s="7">
        <f>SUMIF([1]Detail!$C$4:$C$255, [1]Summary!$B50, [1]Detail!$M$4:$M$255)</f>
        <v>0</v>
      </c>
      <c r="Q50" s="10">
        <f>SUMIF([1]Detail!$C$4:$C$255, [1]Summary!$B50, [1]Detail!$N$4:$N$255)</f>
        <v>0</v>
      </c>
      <c r="R50" s="11">
        <f t="shared" si="4"/>
        <v>3.637978807091713E-12</v>
      </c>
      <c r="S50" s="11"/>
    </row>
    <row r="51" spans="1:19" s="12" customFormat="1" x14ac:dyDescent="0.25">
      <c r="A51" s="13" t="s">
        <v>25</v>
      </c>
      <c r="B51" s="14" t="s">
        <v>98</v>
      </c>
      <c r="C51" s="6">
        <f>37260-9000-700</f>
        <v>27560</v>
      </c>
      <c r="D51" s="7">
        <f>SUMIF([1]Detail!$C$4:$C$461,[1]Summary!$B51,[1]Detail!$F$4:$F$461)</f>
        <v>23931.48</v>
      </c>
      <c r="E51" s="7">
        <f>SUMIF([1]Detail!$C$4:$C$461,[1]Summary!$B51,[1]Detail!$G$4:$G$461)</f>
        <v>5616.83</v>
      </c>
      <c r="F51" s="8">
        <f t="shared" si="0"/>
        <v>1.0721447750362845</v>
      </c>
      <c r="G51" s="9">
        <f t="shared" si="1"/>
        <v>38.799999999999272</v>
      </c>
      <c r="H51" s="7">
        <f>SUMIF([1]Detail!$C$4:$C$461,[1]Summary!$B51,[1]Detail!$H$4:$H$461)</f>
        <v>23931.48</v>
      </c>
      <c r="I51" s="7">
        <f>SUMIF([1]Detail!$C$4:$C$461,[1]Summary!$B51,[1]Detail!$I$4:$I$461)</f>
        <v>3589.7200000000003</v>
      </c>
      <c r="J51" s="7">
        <f t="shared" si="5"/>
        <v>27521.200000000001</v>
      </c>
      <c r="K51" s="7">
        <f t="shared" si="2"/>
        <v>3589.7219999999998</v>
      </c>
      <c r="L51" s="7">
        <f t="shared" si="3"/>
        <v>1.9999999994979589E-3</v>
      </c>
      <c r="M51" s="7">
        <f>SUMIF([1]Detail!$C$4:$C$461,[1]Summary!$B51,[1]Detail!$J$4:$J$461)</f>
        <v>0</v>
      </c>
      <c r="N51" s="7">
        <f>SUMIF([1]Detail!$C$4:$C$461,[1]Summary!$B51,[1]Detail!$K$4:$K$461)</f>
        <v>2027.11</v>
      </c>
      <c r="O51" s="7">
        <f>SUMIF([1]Detail!$C$4:$C$461,[1]Summary!$B51,[1]Detail!$L$4:$L$461)</f>
        <v>0</v>
      </c>
      <c r="P51" s="7">
        <f>SUMIF([1]Detail!$C$4:$C$255, [1]Summary!$B51, [1]Detail!$M$4:$M$255)</f>
        <v>0</v>
      </c>
      <c r="Q51" s="10">
        <f>SUMIF([1]Detail!$C$4:$C$255, [1]Summary!$B51, [1]Detail!$N$4:$N$255)</f>
        <v>0</v>
      </c>
      <c r="R51" s="11">
        <f t="shared" si="4"/>
        <v>-2.0463630789890885E-12</v>
      </c>
      <c r="S51" s="11"/>
    </row>
    <row r="52" spans="1:19" x14ac:dyDescent="0.25">
      <c r="A52" s="15" t="s">
        <v>25</v>
      </c>
      <c r="B52" s="14" t="s">
        <v>99</v>
      </c>
      <c r="C52" s="6">
        <f>48308-10000+3700</f>
        <v>42008</v>
      </c>
      <c r="D52" s="7">
        <f>SUMIF([1]Detail!$C$4:$C$461,[1]Summary!$B52,[1]Detail!$F$4:$F$461)</f>
        <v>36487.599999999999</v>
      </c>
      <c r="E52" s="7">
        <f>SUMIF([1]Detail!$C$4:$C$461,[1]Summary!$B52,[1]Detail!$G$4:$G$461)</f>
        <v>6684.85</v>
      </c>
      <c r="F52" s="8">
        <f t="shared" si="0"/>
        <v>1.027719720053323</v>
      </c>
      <c r="G52" s="9">
        <f t="shared" si="1"/>
        <v>47.260000000002037</v>
      </c>
      <c r="H52" s="7">
        <f>SUMIF([1]Detail!$C$4:$C$461,[1]Summary!$B52,[1]Detail!$H$4:$H$461)</f>
        <v>36487.599999999999</v>
      </c>
      <c r="I52" s="7">
        <f>SUMIF([1]Detail!$C$4:$C$461,[1]Summary!$B52,[1]Detail!$I$4:$I$461)</f>
        <v>5473.14</v>
      </c>
      <c r="J52" s="7">
        <f t="shared" si="5"/>
        <v>41960.74</v>
      </c>
      <c r="K52" s="7">
        <f t="shared" si="2"/>
        <v>5473.1399999999994</v>
      </c>
      <c r="L52" s="7">
        <f t="shared" si="3"/>
        <v>-9.0949470177292824E-13</v>
      </c>
      <c r="M52" s="7">
        <f>SUMIF([1]Detail!$C$4:$C$461,[1]Summary!$B52,[1]Detail!$J$4:$J$461)</f>
        <v>0</v>
      </c>
      <c r="N52" s="7">
        <f>SUMIF([1]Detail!$C$4:$C$461,[1]Summary!$B52,[1]Detail!$K$4:$K$461)</f>
        <v>1211.7099999999998</v>
      </c>
      <c r="O52" s="7">
        <f>SUMIF([1]Detail!$C$4:$C$461,[1]Summary!$B52,[1]Detail!$L$4:$L$461)</f>
        <v>0</v>
      </c>
      <c r="P52" s="7">
        <f>SUMIF([1]Detail!$C$4:$C$255, [1]Summary!$B52, [1]Detail!$M$4:$M$255)</f>
        <v>0</v>
      </c>
      <c r="Q52" s="10">
        <f>SUMIF([1]Detail!$C$4:$C$255, [1]Summary!$B52, [1]Detail!$N$4:$N$255)</f>
        <v>0</v>
      </c>
      <c r="R52" s="11">
        <f t="shared" si="4"/>
        <v>-1.5916157281026244E-12</v>
      </c>
      <c r="S52" s="11"/>
    </row>
    <row r="53" spans="1:19" x14ac:dyDescent="0.25">
      <c r="A53" s="15" t="s">
        <v>100</v>
      </c>
      <c r="B53" s="14" t="s">
        <v>101</v>
      </c>
      <c r="C53" s="6">
        <f>199984+50000</f>
        <v>249984</v>
      </c>
      <c r="D53" s="7">
        <f>SUMIF([1]Detail!$C$4:$C$461,[1]Summary!$B53,[1]Detail!$F$4:$F$461)</f>
        <v>188415.47</v>
      </c>
      <c r="E53" s="7">
        <f>SUMIF([1]Detail!$C$4:$C$461,[1]Summary!$B53,[1]Detail!$G$4:$G$461)</f>
        <v>21931.760000000002</v>
      </c>
      <c r="F53" s="8">
        <f t="shared" si="0"/>
        <v>0.84144277233742959</v>
      </c>
      <c r="G53" s="9">
        <f t="shared" si="1"/>
        <v>39636.76999999999</v>
      </c>
      <c r="H53" s="7">
        <f>SUMIF([1]Detail!$C$4:$C$461,[1]Summary!$B53,[1]Detail!$H$4:$H$461)</f>
        <v>188415.47</v>
      </c>
      <c r="I53" s="7">
        <f>SUMIF([1]Detail!$C$4:$C$461,[1]Summary!$B53,[1]Detail!$I$4:$I$461)</f>
        <v>21931.760000000002</v>
      </c>
      <c r="J53" s="7">
        <f t="shared" si="5"/>
        <v>210347.23</v>
      </c>
      <c r="K53" s="7">
        <f t="shared" si="2"/>
        <v>28262.320499999998</v>
      </c>
      <c r="L53" s="7">
        <f t="shared" si="3"/>
        <v>6330.560499999996</v>
      </c>
      <c r="M53" s="7">
        <f>SUMIF([1]Detail!$C$4:$C$461,[1]Summary!$B53,[1]Detail!$J$4:$J$461)</f>
        <v>0</v>
      </c>
      <c r="N53" s="7">
        <f>SUMIF([1]Detail!$C$4:$C$461,[1]Summary!$B53,[1]Detail!$K$4:$K$461)</f>
        <v>0</v>
      </c>
      <c r="O53" s="7">
        <f>SUMIF([1]Detail!$C$4:$C$461,[1]Summary!$B53,[1]Detail!$L$4:$L$461)</f>
        <v>0</v>
      </c>
      <c r="P53" s="7">
        <f>SUMIF([1]Detail!$C$4:$C$255, [1]Summary!$B53, [1]Detail!$M$4:$M$255)</f>
        <v>0</v>
      </c>
      <c r="Q53" s="10">
        <f>SUMIF([1]Detail!$C$4:$C$255, [1]Summary!$B53, [1]Detail!$N$4:$N$255)</f>
        <v>0</v>
      </c>
      <c r="R53" s="11">
        <f t="shared" si="4"/>
        <v>7.2759576141834259E-12</v>
      </c>
      <c r="S53" s="11"/>
    </row>
    <row r="54" spans="1:19" x14ac:dyDescent="0.25">
      <c r="A54" s="15" t="s">
        <v>102</v>
      </c>
      <c r="B54" s="14" t="s">
        <v>103</v>
      </c>
      <c r="C54" s="6">
        <f>172288-43100+5600</f>
        <v>134788</v>
      </c>
      <c r="D54" s="7">
        <f>SUMIF([1]Detail!$C$4:$C$461,[1]Summary!$B54,[1]Detail!$F$4:$F$461)</f>
        <v>118606.70999999999</v>
      </c>
      <c r="E54" s="7">
        <f>SUMIF([1]Detail!$C$4:$C$461,[1]Summary!$B54,[1]Detail!$G$4:$G$461)</f>
        <v>16107.84</v>
      </c>
      <c r="F54" s="8">
        <f t="shared" si="0"/>
        <v>0.99945507018428936</v>
      </c>
      <c r="G54" s="9">
        <f t="shared" si="1"/>
        <v>73.450000000011642</v>
      </c>
      <c r="H54" s="7">
        <f>SUMIF([1]Detail!$C$4:$C$461,[1]Summary!$B54,[1]Detail!$H$4:$H$461)</f>
        <v>118606.70999999999</v>
      </c>
      <c r="I54" s="7">
        <f>SUMIF([1]Detail!$C$4:$C$461,[1]Summary!$B54,[1]Detail!$I$4:$I$461)</f>
        <v>16107.84</v>
      </c>
      <c r="J54" s="7">
        <f t="shared" si="5"/>
        <v>134714.54999999999</v>
      </c>
      <c r="K54" s="7">
        <f t="shared" si="2"/>
        <v>17791.0065</v>
      </c>
      <c r="L54" s="7">
        <f t="shared" si="3"/>
        <v>1683.1664999999994</v>
      </c>
      <c r="M54" s="7">
        <f>SUMIF([1]Detail!$C$4:$C$461,[1]Summary!$B54,[1]Detail!$J$4:$J$461)</f>
        <v>0</v>
      </c>
      <c r="N54" s="7">
        <f>SUMIF([1]Detail!$C$4:$C$461,[1]Summary!$B54,[1]Detail!$K$4:$K$461)</f>
        <v>0</v>
      </c>
      <c r="O54" s="7">
        <f>SUMIF([1]Detail!$C$4:$C$461,[1]Summary!$B54,[1]Detail!$L$4:$L$461)</f>
        <v>0</v>
      </c>
      <c r="P54" s="7">
        <f>SUMIF([1]Detail!$C$4:$C$255, [1]Summary!$B54, [1]Detail!$M$4:$M$255)</f>
        <v>0</v>
      </c>
      <c r="Q54" s="10">
        <f>SUMIF([1]Detail!$C$4:$C$255, [1]Summary!$B54, [1]Detail!$N$4:$N$255)</f>
        <v>0</v>
      </c>
      <c r="R54" s="11">
        <f t="shared" si="4"/>
        <v>-3.637978807091713E-12</v>
      </c>
      <c r="S54" s="11"/>
    </row>
    <row r="55" spans="1:19" x14ac:dyDescent="0.25">
      <c r="A55" s="15" t="s">
        <v>25</v>
      </c>
      <c r="B55" s="14" t="s">
        <v>104</v>
      </c>
      <c r="C55" s="6">
        <f>89300+20000+6200</f>
        <v>115500</v>
      </c>
      <c r="D55" s="7">
        <f>SUMIF([1]Detail!$C$4:$C$461,[1]Summary!$B55,[1]Detail!$F$4:$F$461)</f>
        <v>100424.94</v>
      </c>
      <c r="E55" s="7">
        <f>SUMIF([1]Detail!$C$4:$C$461,[1]Summary!$B55,[1]Detail!$G$4:$G$461)</f>
        <v>15131.69</v>
      </c>
      <c r="F55" s="8">
        <f t="shared" si="0"/>
        <v>1.0004903030303032</v>
      </c>
      <c r="G55" s="16">
        <f t="shared" si="1"/>
        <v>11.319999999992433</v>
      </c>
      <c r="H55" s="7">
        <f>SUMIF([1]Detail!$C$4:$C$461,[1]Summary!$B55,[1]Detail!$H$4:$H$461)</f>
        <v>100424.94</v>
      </c>
      <c r="I55" s="7">
        <f>SUMIF([1]Detail!$C$4:$C$461,[1]Summary!$B55,[1]Detail!$I$4:$I$461)</f>
        <v>15063.740000000002</v>
      </c>
      <c r="J55" s="7">
        <f t="shared" si="5"/>
        <v>115488.68000000001</v>
      </c>
      <c r="K55" s="7">
        <f t="shared" si="2"/>
        <v>15063.741</v>
      </c>
      <c r="L55" s="7">
        <f t="shared" si="3"/>
        <v>9.9999999838473741E-4</v>
      </c>
      <c r="M55" s="7">
        <f>SUMIF([1]Detail!$C$4:$C$461,[1]Summary!$B55,[1]Detail!$J$4:$J$461)</f>
        <v>0</v>
      </c>
      <c r="N55" s="7">
        <f>SUMIF([1]Detail!$C$4:$C$461,[1]Summary!$B55,[1]Detail!$K$4:$K$461)</f>
        <v>67.949999999999818</v>
      </c>
      <c r="O55" s="7">
        <f>SUMIF([1]Detail!$C$4:$C$461,[1]Summary!$B55,[1]Detail!$L$4:$L$461)</f>
        <v>0</v>
      </c>
      <c r="P55" s="7">
        <f>SUMIF([1]Detail!$C$4:$C$255, [1]Summary!$B55, [1]Detail!$M$4:$M$255)</f>
        <v>0</v>
      </c>
      <c r="Q55" s="10">
        <f>SUMIF([1]Detail!$C$4:$C$255, [1]Summary!$B55, [1]Detail!$N$4:$N$255)</f>
        <v>0</v>
      </c>
      <c r="R55" s="11">
        <f t="shared" si="4"/>
        <v>9.0949470177292824E-13</v>
      </c>
      <c r="S55" s="11"/>
    </row>
    <row r="56" spans="1:19" ht="15.75" thickBot="1" x14ac:dyDescent="0.3">
      <c r="A56" s="17" t="s">
        <v>105</v>
      </c>
      <c r="B56" s="18" t="s">
        <v>106</v>
      </c>
      <c r="C56" s="6">
        <f>62407-35000</f>
        <v>27407</v>
      </c>
      <c r="D56" s="7">
        <f>SUMIF([1]Detail!$C$4:$C$461,[1]Summary!$B56,[1]Detail!$F$4:$F$461)</f>
        <v>15378.11</v>
      </c>
      <c r="E56" s="7">
        <f>SUMIF([1]Detail!$C$4:$C$461,[1]Summary!$B56,[1]Detail!$G$4:$G$461)</f>
        <v>1846.04</v>
      </c>
      <c r="F56" s="8">
        <f t="shared" si="0"/>
        <v>0.62845805816032407</v>
      </c>
      <c r="G56" s="16">
        <f t="shared" si="1"/>
        <v>10182.855</v>
      </c>
      <c r="H56" s="7">
        <f>SUMIF([1]Detail!$C$4:$C$461,[1]Summary!$B56,[1]Detail!$H$4:$H$461)</f>
        <v>15378.11</v>
      </c>
      <c r="I56" s="7">
        <f>SUMIF([1]Detail!$C$4:$C$461,[1]Summary!$B56,[1]Detail!$I$4:$I$461)</f>
        <v>1846.0349999999999</v>
      </c>
      <c r="J56" s="7">
        <f t="shared" si="5"/>
        <v>17224.145</v>
      </c>
      <c r="K56" s="7">
        <f t="shared" si="2"/>
        <v>2306.7165</v>
      </c>
      <c r="L56" s="7">
        <f t="shared" si="3"/>
        <v>460.68150000000014</v>
      </c>
      <c r="M56" s="7">
        <f>SUMIF([1]Detail!$C$4:$C$461,[1]Summary!$B56,[1]Detail!$J$4:$J$461)</f>
        <v>0</v>
      </c>
      <c r="N56" s="7">
        <f>SUMIF([1]Detail!$C$4:$C$461,[1]Summary!$B56,[1]Detail!$K$4:$K$461)</f>
        <v>9.9999999999909051E-3</v>
      </c>
      <c r="O56" s="7">
        <f>SUMIF([1]Detail!$C$4:$C$461,[1]Summary!$B56,[1]Detail!$L$4:$L$461)</f>
        <v>0</v>
      </c>
      <c r="P56" s="7">
        <f>SUMIF([1]Detail!$C$4:$C$255, [1]Summary!$B56, [1]Detail!$M$4:$M$255)</f>
        <v>0</v>
      </c>
      <c r="Q56" s="10">
        <f>SUMIF([1]Detail!$C$4:$C$255, [1]Summary!$B56, [1]Detail!$N$4:$N$255)</f>
        <v>0</v>
      </c>
      <c r="R56" s="11">
        <f t="shared" si="4"/>
        <v>-4.999999998972271E-3</v>
      </c>
      <c r="S56" s="11"/>
    </row>
    <row r="57" spans="1:19" ht="16.5" thickTop="1" thickBot="1" x14ac:dyDescent="0.3">
      <c r="A57" s="19" t="s">
        <v>107</v>
      </c>
      <c r="B57" s="20"/>
      <c r="C57" s="21">
        <f>SUM($C4:$C56)</f>
        <v>9193513.0300000012</v>
      </c>
      <c r="D57" s="21">
        <f>SUM($D4:$D56)</f>
        <v>7488859.0409999993</v>
      </c>
      <c r="E57" s="21">
        <f>SUM($E4:$E56)</f>
        <v>1509129.08</v>
      </c>
      <c r="F57" s="22">
        <f>(SUM($D57:$E57)/$C57)</f>
        <v>0.97873229652669547</v>
      </c>
      <c r="G57" s="21">
        <f>SUM(C57-J57)</f>
        <v>680725.28750000149</v>
      </c>
      <c r="H57" s="21">
        <f>SUM($H4:$H56)</f>
        <v>7463868.7709999997</v>
      </c>
      <c r="I57" s="21">
        <f>SUM($I4:$I56)</f>
        <v>1048918.9715</v>
      </c>
      <c r="J57" s="21">
        <f t="shared" si="5"/>
        <v>8512787.7424999997</v>
      </c>
      <c r="K57" s="21"/>
      <c r="L57" s="21"/>
      <c r="M57" s="21">
        <f>SUM(M4:M56)</f>
        <v>27495.99</v>
      </c>
      <c r="N57" s="21">
        <f>SUM(N4:N56)</f>
        <v>457485.29349999991</v>
      </c>
      <c r="O57" s="21">
        <f>SUM($O4:$O56)</f>
        <v>0</v>
      </c>
      <c r="P57" s="21">
        <f>SUM($P4:$P56)</f>
        <v>0</v>
      </c>
      <c r="Q57" s="23">
        <f>SUM($Q4:$Q56)</f>
        <v>219.09999999999854</v>
      </c>
      <c r="R57" s="11"/>
      <c r="S57" s="11"/>
    </row>
    <row r="58" spans="1:19" x14ac:dyDescent="0.25">
      <c r="A58" s="15" t="s">
        <v>25</v>
      </c>
      <c r="B58" s="14" t="s">
        <v>108</v>
      </c>
      <c r="C58" s="6">
        <v>500000</v>
      </c>
      <c r="D58" s="7">
        <f>SUMIF([1]Detail!$C$4:$C$461,[1]Summary!$B58,[1]Detail!$F$4:$F$461)</f>
        <v>500000</v>
      </c>
      <c r="E58" s="7">
        <f>SUMIF([1]Detail!$C$4:$C$461,[1]Summary!$B58,[1]Detail!$G$4:$G$461)</f>
        <v>0</v>
      </c>
      <c r="F58" s="8">
        <f t="shared" si="0"/>
        <v>1</v>
      </c>
      <c r="G58" s="16">
        <f t="shared" si="1"/>
        <v>0</v>
      </c>
      <c r="H58" s="7">
        <f>SUMIF([1]Detail!$C$4:$C$461,[1]Summary!$B58,[1]Detail!$H$4:$H$461)</f>
        <v>500000</v>
      </c>
      <c r="I58" s="7">
        <f>SUMIF([1]Detail!$C$4:$C$461,[1]Summary!$B58,[1]Detail!$I$4:$I$461)</f>
        <v>0</v>
      </c>
      <c r="J58" s="7">
        <f t="shared" si="5"/>
        <v>500000</v>
      </c>
      <c r="K58" s="7"/>
      <c r="L58" s="7"/>
      <c r="M58" s="7"/>
      <c r="N58" s="7">
        <f>SUMIF([1]Detail!$C$4:$C$461,[1]Summary!$B58,[1]Detail!$K$4:$K$461)</f>
        <v>0</v>
      </c>
      <c r="O58" s="7">
        <f>SUMIF([1]Detail!$C$4:$C$461,[1]Summary!$B58,[1]Detail!$L$4:$L$461)</f>
        <v>0</v>
      </c>
      <c r="P58" s="7">
        <f>SUMIF([1]Detail!$C$4:$C$255, [1]Summary!$B58, [1]Detail!$M$4:$M$255)</f>
        <v>0</v>
      </c>
      <c r="Q58" s="10">
        <f>SUMIF([1]Detail!$C$4:$C$255, [1]Summary!$B58, [1]Detail!$N$4:$N$255)</f>
        <v>0</v>
      </c>
      <c r="R58" s="11"/>
      <c r="S58" s="11"/>
    </row>
    <row r="59" spans="1:19" x14ac:dyDescent="0.25">
      <c r="A59" s="15" t="s">
        <v>109</v>
      </c>
      <c r="B59" s="14" t="s">
        <v>110</v>
      </c>
      <c r="C59" s="6">
        <f>343200-10000-14700-300-5600-43.88-6069.15</f>
        <v>306486.96999999997</v>
      </c>
      <c r="D59" s="7"/>
      <c r="E59" s="7"/>
      <c r="F59" s="8"/>
      <c r="G59" s="16"/>
      <c r="H59" s="7"/>
      <c r="I59" s="7"/>
      <c r="J59" s="7"/>
      <c r="K59" s="7"/>
      <c r="L59" s="7"/>
      <c r="M59" s="7"/>
      <c r="N59" s="7"/>
      <c r="O59" s="7"/>
      <c r="P59" s="7"/>
      <c r="Q59" s="10"/>
      <c r="S59" s="11"/>
    </row>
    <row r="60" spans="1:19" ht="15.75" thickBot="1" x14ac:dyDescent="0.3">
      <c r="A60" s="24" t="s">
        <v>111</v>
      </c>
      <c r="B60" s="25"/>
      <c r="C60" s="26">
        <f>SUM($C57:$C59)</f>
        <v>10000000.000000002</v>
      </c>
      <c r="D60" s="26">
        <f>SUM($D57:$D58)</f>
        <v>7988859.0409999993</v>
      </c>
      <c r="E60" s="26">
        <f>SUM($E57:$E58)</f>
        <v>1509129.08</v>
      </c>
      <c r="F60" s="27">
        <f>(SUM($D60:$E60)/$C60)</f>
        <v>0.94979881209999972</v>
      </c>
      <c r="G60" s="26">
        <f>SUM(C60-J60)</f>
        <v>987212.25750000216</v>
      </c>
      <c r="H60" s="26">
        <f>SUM($H57:$H58)</f>
        <v>7963868.7709999997</v>
      </c>
      <c r="I60" s="26">
        <f>SUM($I57:$I58)</f>
        <v>1048918.9715</v>
      </c>
      <c r="J60" s="26">
        <f t="shared" si="5"/>
        <v>9012787.7424999997</v>
      </c>
      <c r="K60" s="26"/>
      <c r="L60" s="26"/>
      <c r="M60" s="26">
        <f>SUM(M57:M58)</f>
        <v>27495.99</v>
      </c>
      <c r="N60" s="26">
        <f>SUM(N57:N58)</f>
        <v>457485.29349999991</v>
      </c>
      <c r="O60" s="26">
        <f>SUM($O57:$O58)</f>
        <v>0</v>
      </c>
      <c r="P60" s="26">
        <f>SUM($P57:$P58)</f>
        <v>0</v>
      </c>
      <c r="Q60" s="28">
        <f>SUM($Q57:$Q58)</f>
        <v>219.09999999999854</v>
      </c>
    </row>
    <row r="61" spans="1:19" ht="3.95" customHeight="1" thickTop="1" x14ac:dyDescent="0.25">
      <c r="A61" s="29"/>
      <c r="B61" s="30"/>
      <c r="C61" s="31"/>
      <c r="D61" s="31"/>
      <c r="E61" s="31"/>
      <c r="F61" s="32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3"/>
    </row>
    <row r="62" spans="1:19" ht="3.95" customHeight="1" x14ac:dyDescent="0.25">
      <c r="A62" s="34"/>
      <c r="B62" s="30"/>
      <c r="C62" s="31"/>
      <c r="D62" s="31"/>
      <c r="E62" s="31"/>
      <c r="F62" s="32"/>
      <c r="G62" s="32"/>
      <c r="H62" s="31"/>
      <c r="I62" s="31"/>
      <c r="J62" s="31"/>
      <c r="K62" s="31"/>
      <c r="L62" s="31"/>
      <c r="M62" s="31"/>
      <c r="N62" s="31"/>
      <c r="O62" s="31"/>
      <c r="P62" s="31"/>
      <c r="Q62" s="33"/>
    </row>
    <row r="63" spans="1:19" ht="3.95" customHeight="1" x14ac:dyDescent="0.25">
      <c r="A63" s="34"/>
      <c r="B63" s="30"/>
      <c r="C63" s="31"/>
      <c r="D63" s="31"/>
      <c r="E63" s="31"/>
      <c r="F63" s="32"/>
      <c r="G63" s="32"/>
      <c r="H63" s="31"/>
      <c r="I63" s="31"/>
      <c r="J63" s="31"/>
      <c r="K63" s="31"/>
      <c r="L63" s="31"/>
      <c r="M63" s="31"/>
      <c r="N63" s="31"/>
      <c r="O63" s="31"/>
      <c r="P63" s="31"/>
      <c r="Q63" s="33"/>
    </row>
    <row r="64" spans="1:19" ht="3.95" customHeight="1" x14ac:dyDescent="0.25">
      <c r="A64" s="34"/>
      <c r="B64" s="30"/>
      <c r="C64" s="31"/>
      <c r="D64" s="31"/>
      <c r="E64" s="31"/>
      <c r="F64" s="32"/>
      <c r="G64" s="32"/>
      <c r="H64" s="31"/>
      <c r="I64" s="31"/>
      <c r="J64" s="31"/>
      <c r="K64" s="31"/>
      <c r="L64" s="31"/>
      <c r="M64" s="31"/>
      <c r="N64" s="31"/>
      <c r="O64" s="31"/>
      <c r="P64" s="31"/>
      <c r="Q64" s="33"/>
    </row>
    <row r="65" spans="1:17" ht="3.95" customHeight="1" x14ac:dyDescent="0.25">
      <c r="A65" s="34"/>
      <c r="B65" s="30"/>
      <c r="C65" s="31"/>
      <c r="D65" s="31"/>
      <c r="E65" s="31"/>
      <c r="F65" s="32"/>
      <c r="G65" s="32"/>
      <c r="H65" s="31"/>
      <c r="I65" s="31"/>
      <c r="J65" s="31"/>
      <c r="K65" s="31"/>
      <c r="L65" s="31"/>
      <c r="M65" s="31"/>
      <c r="N65" s="31"/>
      <c r="O65" s="31"/>
      <c r="P65" s="31"/>
      <c r="Q65" s="33"/>
    </row>
    <row r="66" spans="1:17" x14ac:dyDescent="0.25">
      <c r="I66" s="38"/>
      <c r="J66" s="39"/>
    </row>
    <row r="67" spans="1:17" x14ac:dyDescent="0.25">
      <c r="I67" s="38"/>
      <c r="J67" s="41"/>
    </row>
    <row r="70" spans="1:17" x14ac:dyDescent="0.25">
      <c r="A70" s="36"/>
      <c r="B70" s="36"/>
      <c r="C70" s="37"/>
      <c r="D70" s="37"/>
      <c r="F70" s="36"/>
      <c r="G70" s="36"/>
      <c r="N70" s="40"/>
      <c r="O70"/>
      <c r="P70"/>
      <c r="Q70"/>
    </row>
    <row r="71" spans="1:17" x14ac:dyDescent="0.25">
      <c r="A71" s="36"/>
      <c r="B71" s="36"/>
      <c r="C71" s="37"/>
      <c r="D71" s="37"/>
      <c r="F71" s="36"/>
      <c r="G71" s="36"/>
      <c r="N71" s="40"/>
      <c r="O71"/>
      <c r="P71"/>
      <c r="Q71"/>
    </row>
    <row r="72" spans="1:17" x14ac:dyDescent="0.25">
      <c r="A72" s="36"/>
      <c r="B72" s="36"/>
      <c r="C72" s="37"/>
      <c r="D72" s="37"/>
      <c r="F72" s="36"/>
      <c r="G72" s="36"/>
      <c r="N72" s="40"/>
      <c r="O72"/>
      <c r="P72"/>
      <c r="Q72"/>
    </row>
    <row r="73" spans="1:17" x14ac:dyDescent="0.25">
      <c r="A73" s="36"/>
      <c r="B73" s="36"/>
      <c r="C73" s="37"/>
      <c r="D73" s="37"/>
      <c r="F73" s="36"/>
      <c r="G73" s="36"/>
      <c r="N73" s="40"/>
      <c r="O73"/>
      <c r="P73"/>
      <c r="Q73"/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</sheetData>
  <mergeCells count="12">
    <mergeCell ref="P2:P3"/>
    <mergeCell ref="Q2:Q3"/>
    <mergeCell ref="A1:Q1"/>
    <mergeCell ref="A2:A3"/>
    <mergeCell ref="B2:B3"/>
    <mergeCell ref="C2:C3"/>
    <mergeCell ref="D2:E2"/>
    <mergeCell ref="F2:F3"/>
    <mergeCell ref="G2:G3"/>
    <mergeCell ref="H2:J2"/>
    <mergeCell ref="K2:L2"/>
    <mergeCell ref="N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1"/>
  <sheetViews>
    <sheetView workbookViewId="0">
      <selection sqref="A1:XFD1048576"/>
    </sheetView>
  </sheetViews>
  <sheetFormatPr defaultRowHeight="15" x14ac:dyDescent="0.25"/>
  <cols>
    <col min="1" max="1" width="9.140625" style="100" customWidth="1"/>
    <col min="2" max="2" width="77.42578125" style="12" customWidth="1"/>
    <col min="3" max="3" width="5.5703125" style="100" customWidth="1"/>
    <col min="4" max="4" width="16.28515625" style="75" bestFit="1" customWidth="1"/>
    <col min="5" max="5" width="13.85546875" style="101" bestFit="1" customWidth="1"/>
    <col min="6" max="6" width="19.7109375" style="75" bestFit="1" customWidth="1"/>
    <col min="7" max="7" width="14.42578125" style="75" customWidth="1"/>
    <col min="8" max="8" width="18.7109375" style="102" bestFit="1" customWidth="1"/>
    <col min="9" max="9" width="16" style="102" customWidth="1"/>
    <col min="10" max="10" width="18.5703125" style="75" bestFit="1" customWidth="1"/>
    <col min="11" max="11" width="17.85546875" style="75" customWidth="1"/>
    <col min="12" max="12" width="14.5703125" style="75" customWidth="1"/>
    <col min="13" max="13" width="14.28515625" style="75" bestFit="1" customWidth="1"/>
    <col min="14" max="14" width="12.5703125" style="103" bestFit="1" customWidth="1"/>
    <col min="15" max="15" width="13.42578125" style="12" bestFit="1" customWidth="1"/>
    <col min="16" max="16" width="9.140625" style="12"/>
    <col min="17" max="17" width="11.140625" style="12" bestFit="1" customWidth="1"/>
    <col min="18" max="16384" width="9.140625" style="12"/>
  </cols>
  <sheetData>
    <row r="1" spans="1:15" ht="15.75" thickTop="1" x14ac:dyDescent="0.25">
      <c r="A1" s="160" t="s">
        <v>112</v>
      </c>
      <c r="B1" s="161"/>
      <c r="C1" s="161"/>
      <c r="D1" s="161"/>
      <c r="E1" s="161"/>
      <c r="F1" s="161"/>
      <c r="G1" s="161"/>
      <c r="H1" s="162"/>
      <c r="I1" s="162"/>
      <c r="J1" s="161"/>
      <c r="K1" s="161"/>
      <c r="L1" s="161"/>
      <c r="M1" s="161"/>
      <c r="N1" s="163"/>
    </row>
    <row r="2" spans="1:15" ht="15" customHeight="1" x14ac:dyDescent="0.25">
      <c r="A2" s="42"/>
      <c r="B2" s="43"/>
      <c r="C2" s="44"/>
      <c r="D2" s="45"/>
      <c r="E2" s="46"/>
      <c r="F2" s="164" t="s">
        <v>3</v>
      </c>
      <c r="G2" s="164"/>
      <c r="H2" s="165" t="s">
        <v>6</v>
      </c>
      <c r="I2" s="165"/>
      <c r="J2" s="47" t="s">
        <v>113</v>
      </c>
      <c r="K2" s="166" t="s">
        <v>9</v>
      </c>
      <c r="L2" s="166"/>
      <c r="M2" s="48"/>
      <c r="N2" s="49"/>
    </row>
    <row r="3" spans="1:15" ht="45.75" thickBot="1" x14ac:dyDescent="0.3">
      <c r="A3" s="50" t="s">
        <v>114</v>
      </c>
      <c r="B3" s="51" t="s">
        <v>0</v>
      </c>
      <c r="C3" s="52" t="s">
        <v>1</v>
      </c>
      <c r="D3" s="53" t="s">
        <v>115</v>
      </c>
      <c r="E3" s="54" t="s">
        <v>116</v>
      </c>
      <c r="F3" s="2" t="s">
        <v>12</v>
      </c>
      <c r="G3" s="3" t="s">
        <v>13</v>
      </c>
      <c r="H3" s="55" t="s">
        <v>12</v>
      </c>
      <c r="I3" s="55" t="s">
        <v>14</v>
      </c>
      <c r="J3" s="3" t="s">
        <v>18</v>
      </c>
      <c r="K3" s="3" t="s">
        <v>19</v>
      </c>
      <c r="L3" s="3" t="s">
        <v>117</v>
      </c>
      <c r="M3" s="56" t="s">
        <v>10</v>
      </c>
      <c r="N3" s="57" t="s">
        <v>11</v>
      </c>
    </row>
    <row r="4" spans="1:15" ht="15.75" customHeight="1" thickTop="1" x14ac:dyDescent="0.25">
      <c r="A4" s="58"/>
      <c r="B4" s="59" t="s">
        <v>79</v>
      </c>
      <c r="C4" s="60" t="s">
        <v>80</v>
      </c>
      <c r="D4" s="61" t="s">
        <v>118</v>
      </c>
      <c r="E4" s="61">
        <v>42229</v>
      </c>
      <c r="F4" s="6">
        <v>21339.29</v>
      </c>
      <c r="G4" s="6">
        <v>18393.75</v>
      </c>
      <c r="H4" s="6">
        <v>21339.29</v>
      </c>
      <c r="I4" s="6">
        <v>3200.89</v>
      </c>
      <c r="J4" s="6"/>
      <c r="K4" s="6">
        <f>G4-I4</f>
        <v>15192.86</v>
      </c>
      <c r="L4" s="7"/>
      <c r="M4" s="7"/>
      <c r="N4" s="10"/>
      <c r="O4" s="11"/>
    </row>
    <row r="5" spans="1:15" ht="15.75" customHeight="1" x14ac:dyDescent="0.25">
      <c r="A5" s="58"/>
      <c r="B5" s="59" t="s">
        <v>66</v>
      </c>
      <c r="C5" s="60" t="s">
        <v>67</v>
      </c>
      <c r="D5" s="61" t="s">
        <v>118</v>
      </c>
      <c r="E5" s="61">
        <v>42241</v>
      </c>
      <c r="F5" s="6">
        <v>9263.42</v>
      </c>
      <c r="G5" s="6">
        <v>0</v>
      </c>
      <c r="H5" s="6">
        <v>9263.42</v>
      </c>
      <c r="I5" s="6">
        <v>0</v>
      </c>
      <c r="J5" s="6"/>
      <c r="K5" s="6">
        <f>G5-I5</f>
        <v>0</v>
      </c>
      <c r="L5" s="7"/>
      <c r="M5" s="7"/>
      <c r="N5" s="10"/>
      <c r="O5" s="11"/>
    </row>
    <row r="6" spans="1:15" x14ac:dyDescent="0.25">
      <c r="A6" s="58"/>
      <c r="B6" s="59" t="s">
        <v>40</v>
      </c>
      <c r="C6" s="60" t="s">
        <v>41</v>
      </c>
      <c r="D6" s="61" t="s">
        <v>118</v>
      </c>
      <c r="E6" s="61">
        <v>42243</v>
      </c>
      <c r="F6" s="6">
        <v>25391.34</v>
      </c>
      <c r="G6" s="6">
        <v>4053.17</v>
      </c>
      <c r="H6" s="6">
        <v>25391.34</v>
      </c>
      <c r="I6" s="6">
        <f>3808.7+225.14+19.33</f>
        <v>4053.1699999999996</v>
      </c>
      <c r="J6" s="6"/>
      <c r="K6" s="6">
        <f>G6-I6</f>
        <v>0</v>
      </c>
      <c r="L6" s="7"/>
      <c r="M6" s="7"/>
      <c r="N6" s="10"/>
      <c r="O6" s="11"/>
    </row>
    <row r="7" spans="1:15" ht="15" customHeight="1" x14ac:dyDescent="0.25">
      <c r="A7" s="58"/>
      <c r="B7" s="59" t="s">
        <v>21</v>
      </c>
      <c r="C7" s="60" t="s">
        <v>22</v>
      </c>
      <c r="D7" s="61" t="s">
        <v>118</v>
      </c>
      <c r="E7" s="61">
        <v>42244</v>
      </c>
      <c r="F7" s="6">
        <v>796.32</v>
      </c>
      <c r="G7" s="6">
        <v>1301.22</v>
      </c>
      <c r="H7" s="6">
        <v>796.32</v>
      </c>
      <c r="I7" s="6">
        <f>119.45+198.97+397.33+436.63+148.84</f>
        <v>1301.22</v>
      </c>
      <c r="J7" s="6"/>
      <c r="K7" s="6">
        <f>G7-I7</f>
        <v>0</v>
      </c>
      <c r="L7" s="7"/>
      <c r="M7" s="7"/>
      <c r="N7" s="10"/>
      <c r="O7" s="11"/>
    </row>
    <row r="8" spans="1:15" ht="15" customHeight="1" x14ac:dyDescent="0.25">
      <c r="A8" s="58"/>
      <c r="B8" s="59" t="s">
        <v>54</v>
      </c>
      <c r="C8" s="60" t="s">
        <v>55</v>
      </c>
      <c r="D8" s="61" t="s">
        <v>118</v>
      </c>
      <c r="E8" s="61">
        <v>42246</v>
      </c>
      <c r="F8" s="6">
        <v>8083.98</v>
      </c>
      <c r="G8" s="6">
        <v>1445.01</v>
      </c>
      <c r="H8" s="6">
        <v>8083.98</v>
      </c>
      <c r="I8" s="6">
        <v>1445.01</v>
      </c>
      <c r="J8" s="6"/>
      <c r="K8" s="6"/>
      <c r="L8" s="7"/>
      <c r="M8" s="7"/>
      <c r="N8" s="10"/>
      <c r="O8" s="11"/>
    </row>
    <row r="9" spans="1:15" ht="15" customHeight="1" x14ac:dyDescent="0.25">
      <c r="A9" s="58"/>
      <c r="B9" s="59" t="s">
        <v>58</v>
      </c>
      <c r="C9" s="60" t="s">
        <v>59</v>
      </c>
      <c r="D9" s="61" t="s">
        <v>118</v>
      </c>
      <c r="E9" s="61">
        <v>42261</v>
      </c>
      <c r="F9" s="6">
        <v>3008.62</v>
      </c>
      <c r="G9" s="6">
        <v>2960.87</v>
      </c>
      <c r="H9" s="6">
        <v>3008.62</v>
      </c>
      <c r="I9" s="6">
        <v>451.29</v>
      </c>
      <c r="J9" s="6"/>
      <c r="K9" s="6">
        <f>G9-I9</f>
        <v>2509.58</v>
      </c>
      <c r="L9" s="7"/>
      <c r="M9" s="7"/>
      <c r="N9" s="10"/>
      <c r="O9" s="11"/>
    </row>
    <row r="10" spans="1:15" ht="15" customHeight="1" x14ac:dyDescent="0.25">
      <c r="A10" s="58"/>
      <c r="B10" s="59" t="s">
        <v>66</v>
      </c>
      <c r="C10" s="60" t="s">
        <v>67</v>
      </c>
      <c r="D10" s="61" t="s">
        <v>119</v>
      </c>
      <c r="E10" s="61">
        <v>42263</v>
      </c>
      <c r="F10" s="6">
        <v>3313.98</v>
      </c>
      <c r="G10" s="6">
        <v>0</v>
      </c>
      <c r="H10" s="6">
        <v>3313.98</v>
      </c>
      <c r="I10" s="6">
        <v>0</v>
      </c>
      <c r="J10" s="6"/>
      <c r="K10" s="6">
        <f>G10-I10</f>
        <v>0</v>
      </c>
      <c r="L10" s="7"/>
      <c r="M10" s="7"/>
      <c r="N10" s="10"/>
      <c r="O10" s="11"/>
    </row>
    <row r="11" spans="1:15" x14ac:dyDescent="0.25">
      <c r="A11" s="58"/>
      <c r="B11" s="59" t="s">
        <v>40</v>
      </c>
      <c r="C11" s="60" t="s">
        <v>41</v>
      </c>
      <c r="D11" s="61" t="s">
        <v>119</v>
      </c>
      <c r="E11" s="61">
        <v>42272</v>
      </c>
      <c r="F11" s="6">
        <v>21098.47</v>
      </c>
      <c r="G11" s="6">
        <v>2027.13</v>
      </c>
      <c r="H11" s="6">
        <v>21098.47</v>
      </c>
      <c r="I11" s="6">
        <f>2027.13</f>
        <v>2027.13</v>
      </c>
      <c r="J11" s="6"/>
      <c r="K11" s="6">
        <f>G11-I11</f>
        <v>0</v>
      </c>
      <c r="L11" s="7"/>
      <c r="M11" s="7"/>
      <c r="N11" s="10"/>
      <c r="O11" s="11"/>
    </row>
    <row r="12" spans="1:15" ht="15" customHeight="1" x14ac:dyDescent="0.25">
      <c r="A12" s="58"/>
      <c r="B12" s="59" t="s">
        <v>54</v>
      </c>
      <c r="C12" s="60" t="s">
        <v>55</v>
      </c>
      <c r="D12" s="61" t="s">
        <v>119</v>
      </c>
      <c r="E12" s="61">
        <v>42272</v>
      </c>
      <c r="F12" s="6">
        <v>13001.7</v>
      </c>
      <c r="G12" s="6">
        <v>955</v>
      </c>
      <c r="H12" s="6">
        <v>13001.7</v>
      </c>
      <c r="I12" s="6">
        <v>955</v>
      </c>
      <c r="J12" s="6"/>
      <c r="K12" s="6"/>
      <c r="L12" s="7"/>
      <c r="M12" s="7"/>
      <c r="N12" s="10"/>
      <c r="O12" s="11"/>
    </row>
    <row r="13" spans="1:15" ht="15" customHeight="1" x14ac:dyDescent="0.25">
      <c r="A13" s="58"/>
      <c r="B13" s="59" t="s">
        <v>21</v>
      </c>
      <c r="C13" s="60" t="s">
        <v>22</v>
      </c>
      <c r="D13" s="61" t="s">
        <v>119</v>
      </c>
      <c r="E13" s="61">
        <v>42276</v>
      </c>
      <c r="F13" s="6">
        <v>3043.58</v>
      </c>
      <c r="G13" s="6">
        <v>502.74</v>
      </c>
      <c r="H13" s="6">
        <v>3043.58</v>
      </c>
      <c r="I13" s="6">
        <f>456.54+46.2</f>
        <v>502.74</v>
      </c>
      <c r="J13" s="6"/>
      <c r="K13" s="6">
        <f t="shared" ref="K13:K21" si="0">G13-I13</f>
        <v>0</v>
      </c>
      <c r="L13" s="7"/>
      <c r="M13" s="7"/>
      <c r="N13" s="10"/>
      <c r="O13" s="11"/>
    </row>
    <row r="14" spans="1:15" ht="15" customHeight="1" x14ac:dyDescent="0.25">
      <c r="A14" s="58"/>
      <c r="B14" s="59" t="s">
        <v>58</v>
      </c>
      <c r="C14" s="60" t="s">
        <v>59</v>
      </c>
      <c r="D14" s="61" t="s">
        <v>119</v>
      </c>
      <c r="E14" s="61">
        <v>42285</v>
      </c>
      <c r="F14" s="6">
        <v>4335</v>
      </c>
      <c r="G14" s="62">
        <v>3490.77</v>
      </c>
      <c r="H14" s="6">
        <v>4335</v>
      </c>
      <c r="I14" s="6">
        <v>650.25</v>
      </c>
      <c r="J14" s="6"/>
      <c r="K14" s="6">
        <f t="shared" si="0"/>
        <v>2840.52</v>
      </c>
      <c r="L14" s="7"/>
      <c r="M14" s="7"/>
      <c r="N14" s="10"/>
      <c r="O14" s="11"/>
    </row>
    <row r="15" spans="1:15" ht="15" customHeight="1" x14ac:dyDescent="0.25">
      <c r="A15" s="58"/>
      <c r="B15" s="59" t="s">
        <v>79</v>
      </c>
      <c r="C15" s="60" t="s">
        <v>80</v>
      </c>
      <c r="D15" s="61" t="s">
        <v>119</v>
      </c>
      <c r="E15" s="61">
        <v>42295</v>
      </c>
      <c r="F15" s="6">
        <v>75020.39</v>
      </c>
      <c r="G15" s="6">
        <v>22680</v>
      </c>
      <c r="H15" s="6">
        <v>75020.39</v>
      </c>
      <c r="I15" s="6">
        <v>11253.06</v>
      </c>
      <c r="J15" s="6"/>
      <c r="K15" s="6">
        <f t="shared" si="0"/>
        <v>11426.94</v>
      </c>
      <c r="L15" s="7"/>
      <c r="M15" s="7"/>
      <c r="N15" s="10"/>
      <c r="O15" s="11"/>
    </row>
    <row r="16" spans="1:15" ht="15" customHeight="1" x14ac:dyDescent="0.25">
      <c r="A16" s="58"/>
      <c r="B16" s="59" t="s">
        <v>68</v>
      </c>
      <c r="C16" s="60" t="s">
        <v>69</v>
      </c>
      <c r="D16" s="61" t="s">
        <v>120</v>
      </c>
      <c r="E16" s="61">
        <v>42293</v>
      </c>
      <c r="F16" s="6">
        <v>4258.91</v>
      </c>
      <c r="G16" s="6">
        <v>280.5</v>
      </c>
      <c r="H16" s="6">
        <v>4258.91</v>
      </c>
      <c r="I16" s="6">
        <v>280.5</v>
      </c>
      <c r="J16" s="6"/>
      <c r="K16" s="6">
        <f t="shared" si="0"/>
        <v>0</v>
      </c>
      <c r="L16" s="7"/>
      <c r="M16" s="7"/>
      <c r="N16" s="10"/>
      <c r="O16" s="11"/>
    </row>
    <row r="17" spans="1:15" ht="15" customHeight="1" x14ac:dyDescent="0.25">
      <c r="A17" s="58"/>
      <c r="B17" s="59" t="s">
        <v>70</v>
      </c>
      <c r="C17" s="60" t="s">
        <v>71</v>
      </c>
      <c r="D17" s="61" t="s">
        <v>120</v>
      </c>
      <c r="E17" s="61">
        <v>42296</v>
      </c>
      <c r="F17" s="6">
        <v>1343.39</v>
      </c>
      <c r="G17" s="6">
        <v>1659.7</v>
      </c>
      <c r="H17" s="63">
        <v>1343.39</v>
      </c>
      <c r="I17" s="6">
        <f>201.51+814.65+181.17</f>
        <v>1197.33</v>
      </c>
      <c r="J17" s="6"/>
      <c r="K17" s="6">
        <f t="shared" si="0"/>
        <v>462.37000000000012</v>
      </c>
      <c r="L17" s="7"/>
      <c r="M17" s="7"/>
      <c r="N17" s="10"/>
      <c r="O17" s="11"/>
    </row>
    <row r="18" spans="1:15" ht="15" customHeight="1" x14ac:dyDescent="0.25">
      <c r="A18" s="58"/>
      <c r="B18" s="59" t="s">
        <v>83</v>
      </c>
      <c r="C18" s="60" t="s">
        <v>84</v>
      </c>
      <c r="D18" s="61" t="s">
        <v>120</v>
      </c>
      <c r="E18" s="61">
        <v>42299</v>
      </c>
      <c r="F18" s="6">
        <v>19428.32</v>
      </c>
      <c r="G18" s="6">
        <v>6504.78</v>
      </c>
      <c r="H18" s="6">
        <v>19428.32</v>
      </c>
      <c r="I18" s="6">
        <v>2914.25</v>
      </c>
      <c r="J18" s="6"/>
      <c r="K18" s="6">
        <f t="shared" si="0"/>
        <v>3590.5299999999997</v>
      </c>
      <c r="L18" s="7"/>
      <c r="M18" s="7"/>
      <c r="N18" s="10"/>
      <c r="O18" s="11"/>
    </row>
    <row r="19" spans="1:15" ht="15" customHeight="1" x14ac:dyDescent="0.25">
      <c r="A19" s="58"/>
      <c r="B19" s="59" t="s">
        <v>42</v>
      </c>
      <c r="C19" s="60" t="s">
        <v>43</v>
      </c>
      <c r="D19" s="61" t="s">
        <v>120</v>
      </c>
      <c r="E19" s="61">
        <v>42299</v>
      </c>
      <c r="F19" s="6">
        <v>25521.55</v>
      </c>
      <c r="G19" s="6">
        <v>4886.12</v>
      </c>
      <c r="H19" s="6">
        <v>25521.55</v>
      </c>
      <c r="I19" s="6">
        <v>3828.23</v>
      </c>
      <c r="J19" s="6"/>
      <c r="K19" s="6">
        <f t="shared" si="0"/>
        <v>1057.8899999999999</v>
      </c>
      <c r="L19" s="7"/>
      <c r="M19" s="7"/>
      <c r="N19" s="10"/>
      <c r="O19" s="11"/>
    </row>
    <row r="20" spans="1:15" ht="15" customHeight="1" x14ac:dyDescent="0.25">
      <c r="A20" s="58"/>
      <c r="B20" s="59" t="s">
        <v>42</v>
      </c>
      <c r="C20" s="60" t="s">
        <v>78</v>
      </c>
      <c r="D20" s="61" t="s">
        <v>120</v>
      </c>
      <c r="E20" s="61">
        <v>42299</v>
      </c>
      <c r="F20" s="6">
        <v>48452.28</v>
      </c>
      <c r="G20" s="6">
        <v>43946.1</v>
      </c>
      <c r="H20" s="6">
        <v>48452.28</v>
      </c>
      <c r="I20" s="63">
        <v>7267.84</v>
      </c>
      <c r="J20" s="6"/>
      <c r="K20" s="6">
        <f t="shared" si="0"/>
        <v>36678.259999999995</v>
      </c>
      <c r="L20" s="7"/>
      <c r="M20" s="7"/>
      <c r="N20" s="10"/>
      <c r="O20" s="11"/>
    </row>
    <row r="21" spans="1:15" ht="15" customHeight="1" x14ac:dyDescent="0.25">
      <c r="A21" s="58"/>
      <c r="B21" s="59" t="s">
        <v>42</v>
      </c>
      <c r="C21" s="60" t="s">
        <v>44</v>
      </c>
      <c r="D21" s="61" t="s">
        <v>120</v>
      </c>
      <c r="E21" s="61">
        <v>42299</v>
      </c>
      <c r="F21" s="6">
        <v>67955.360000000001</v>
      </c>
      <c r="G21" s="6">
        <v>32533.09</v>
      </c>
      <c r="H21" s="6">
        <v>67955.360000000001</v>
      </c>
      <c r="I21" s="6">
        <v>10193.299999999999</v>
      </c>
      <c r="J21" s="6"/>
      <c r="K21" s="6">
        <f t="shared" si="0"/>
        <v>22339.79</v>
      </c>
      <c r="L21" s="7"/>
      <c r="M21" s="7"/>
      <c r="N21" s="10"/>
      <c r="O21" s="11"/>
    </row>
    <row r="22" spans="1:15" ht="15" customHeight="1" x14ac:dyDescent="0.25">
      <c r="A22" s="58"/>
      <c r="B22" s="59" t="s">
        <v>96</v>
      </c>
      <c r="C22" s="60" t="s">
        <v>97</v>
      </c>
      <c r="D22" s="61" t="s">
        <v>120</v>
      </c>
      <c r="E22" s="61">
        <v>42303</v>
      </c>
      <c r="F22" s="6">
        <v>8458.9</v>
      </c>
      <c r="G22" s="6">
        <v>0</v>
      </c>
      <c r="H22" s="6">
        <v>8458.9</v>
      </c>
      <c r="I22" s="6">
        <v>0</v>
      </c>
      <c r="J22" s="6"/>
      <c r="K22" s="6"/>
      <c r="L22" s="7"/>
      <c r="M22" s="7"/>
      <c r="N22" s="10"/>
      <c r="O22" s="11"/>
    </row>
    <row r="23" spans="1:15" ht="15" customHeight="1" x14ac:dyDescent="0.25">
      <c r="A23" s="58"/>
      <c r="B23" s="59" t="s">
        <v>79</v>
      </c>
      <c r="C23" s="60" t="s">
        <v>80</v>
      </c>
      <c r="D23" s="61" t="s">
        <v>121</v>
      </c>
      <c r="E23" s="61">
        <v>42304</v>
      </c>
      <c r="F23" s="6">
        <v>47211.76</v>
      </c>
      <c r="G23" s="6">
        <v>29137.65</v>
      </c>
      <c r="H23" s="6">
        <v>47211.76</v>
      </c>
      <c r="I23" s="6">
        <v>7081.76</v>
      </c>
      <c r="J23" s="6"/>
      <c r="K23" s="6">
        <f>G23-I23</f>
        <v>22055.89</v>
      </c>
      <c r="L23" s="7"/>
      <c r="M23" s="7"/>
      <c r="N23" s="10"/>
      <c r="O23" s="11"/>
    </row>
    <row r="24" spans="1:15" ht="15" customHeight="1" x14ac:dyDescent="0.25">
      <c r="A24" s="58"/>
      <c r="B24" s="59" t="s">
        <v>36</v>
      </c>
      <c r="C24" s="60" t="s">
        <v>37</v>
      </c>
      <c r="D24" s="61" t="s">
        <v>120</v>
      </c>
      <c r="E24" s="61">
        <v>42305</v>
      </c>
      <c r="F24" s="6">
        <v>1623.14</v>
      </c>
      <c r="G24" s="6">
        <v>243.47</v>
      </c>
      <c r="H24" s="6">
        <v>1623.14</v>
      </c>
      <c r="I24" s="6">
        <v>243.47</v>
      </c>
      <c r="J24" s="6"/>
      <c r="K24" s="6"/>
      <c r="L24" s="7"/>
      <c r="M24" s="7"/>
      <c r="N24" s="10"/>
      <c r="O24" s="11"/>
    </row>
    <row r="25" spans="1:15" ht="15" customHeight="1" x14ac:dyDescent="0.25">
      <c r="A25" s="58"/>
      <c r="B25" s="59" t="s">
        <v>25</v>
      </c>
      <c r="C25" s="60" t="s">
        <v>26</v>
      </c>
      <c r="D25" s="61" t="s">
        <v>120</v>
      </c>
      <c r="E25" s="61">
        <v>42305</v>
      </c>
      <c r="F25" s="6">
        <v>2515.86</v>
      </c>
      <c r="G25" s="6">
        <v>1306.8900000000001</v>
      </c>
      <c r="H25" s="6">
        <v>2515.86</v>
      </c>
      <c r="I25" s="6">
        <f>377.38+165.17+764.34</f>
        <v>1306.8899999999999</v>
      </c>
      <c r="J25" s="6"/>
      <c r="K25" s="6">
        <f t="shared" ref="K25:K43" si="1">G25-I25</f>
        <v>0</v>
      </c>
      <c r="L25" s="7"/>
      <c r="M25" s="7"/>
      <c r="N25" s="10"/>
      <c r="O25" s="11"/>
    </row>
    <row r="26" spans="1:15" ht="15" customHeight="1" x14ac:dyDescent="0.25">
      <c r="A26" s="58"/>
      <c r="B26" s="59" t="s">
        <v>25</v>
      </c>
      <c r="C26" s="60" t="s">
        <v>27</v>
      </c>
      <c r="D26" s="61" t="s">
        <v>120</v>
      </c>
      <c r="E26" s="61">
        <v>42305</v>
      </c>
      <c r="F26" s="6">
        <v>14402.72</v>
      </c>
      <c r="G26" s="6">
        <v>3217.2</v>
      </c>
      <c r="H26" s="6">
        <v>14402.72</v>
      </c>
      <c r="I26" s="63">
        <f>2160.41+1056.79</f>
        <v>3217.2</v>
      </c>
      <c r="J26" s="6"/>
      <c r="K26" s="6">
        <f t="shared" si="1"/>
        <v>0</v>
      </c>
      <c r="L26" s="7"/>
      <c r="M26" s="7"/>
      <c r="N26" s="10"/>
      <c r="O26" s="11"/>
    </row>
    <row r="27" spans="1:15" ht="15" customHeight="1" x14ac:dyDescent="0.25">
      <c r="A27" s="58"/>
      <c r="B27" s="59" t="s">
        <v>25</v>
      </c>
      <c r="C27" s="60" t="s">
        <v>49</v>
      </c>
      <c r="D27" s="61" t="s">
        <v>120</v>
      </c>
      <c r="E27" s="61">
        <v>42305</v>
      </c>
      <c r="F27" s="6">
        <v>14711.71</v>
      </c>
      <c r="G27" s="6">
        <v>3760.86</v>
      </c>
      <c r="H27" s="6">
        <v>14711.71</v>
      </c>
      <c r="I27" s="6">
        <f>2206.76+1053.98+500.12</f>
        <v>3760.86</v>
      </c>
      <c r="J27" s="6"/>
      <c r="K27" s="6">
        <f t="shared" si="1"/>
        <v>0</v>
      </c>
      <c r="L27" s="7"/>
      <c r="M27" s="7"/>
      <c r="N27" s="10"/>
      <c r="O27" s="11"/>
    </row>
    <row r="28" spans="1:15" ht="15" customHeight="1" x14ac:dyDescent="0.25">
      <c r="A28" s="58"/>
      <c r="B28" s="59" t="s">
        <v>25</v>
      </c>
      <c r="C28" s="60" t="s">
        <v>56</v>
      </c>
      <c r="D28" s="61" t="s">
        <v>120</v>
      </c>
      <c r="E28" s="61">
        <v>42305</v>
      </c>
      <c r="F28" s="6">
        <v>51133.07</v>
      </c>
      <c r="G28" s="6">
        <v>11576.14</v>
      </c>
      <c r="H28" s="6">
        <v>51133.07</v>
      </c>
      <c r="I28" s="6">
        <f>7669.96+2334.75+1571.43</f>
        <v>11576.14</v>
      </c>
      <c r="J28" s="6"/>
      <c r="K28" s="6">
        <f t="shared" si="1"/>
        <v>0</v>
      </c>
      <c r="L28" s="7"/>
      <c r="M28" s="7"/>
      <c r="N28" s="10"/>
      <c r="O28" s="11"/>
    </row>
    <row r="29" spans="1:15" ht="15" customHeight="1" x14ac:dyDescent="0.25">
      <c r="A29" s="58"/>
      <c r="B29" s="59" t="s">
        <v>25</v>
      </c>
      <c r="C29" s="60" t="s">
        <v>57</v>
      </c>
      <c r="D29" s="61" t="s">
        <v>120</v>
      </c>
      <c r="E29" s="61">
        <v>42305</v>
      </c>
      <c r="F29" s="6">
        <v>10952.17</v>
      </c>
      <c r="G29" s="6">
        <v>3005.81</v>
      </c>
      <c r="H29" s="6">
        <v>10952.17</v>
      </c>
      <c r="I29" s="6">
        <f>1642.83+1362.98</f>
        <v>3005.81</v>
      </c>
      <c r="J29" s="6"/>
      <c r="K29" s="6">
        <f t="shared" si="1"/>
        <v>0</v>
      </c>
      <c r="L29" s="7"/>
      <c r="M29" s="7"/>
      <c r="N29" s="10"/>
      <c r="O29" s="11"/>
    </row>
    <row r="30" spans="1:15" ht="15" customHeight="1" x14ac:dyDescent="0.25">
      <c r="A30" s="58"/>
      <c r="B30" s="59" t="s">
        <v>25</v>
      </c>
      <c r="C30" s="60" t="s">
        <v>60</v>
      </c>
      <c r="D30" s="61" t="s">
        <v>120</v>
      </c>
      <c r="E30" s="61">
        <v>42305</v>
      </c>
      <c r="F30" s="6">
        <v>4765.3100000000004</v>
      </c>
      <c r="G30" s="6">
        <v>1759.94</v>
      </c>
      <c r="H30" s="6">
        <v>4765.3100000000004</v>
      </c>
      <c r="I30" s="6">
        <f>714.8+1045.14</f>
        <v>1759.94</v>
      </c>
      <c r="J30" s="6"/>
      <c r="K30" s="6">
        <f t="shared" si="1"/>
        <v>0</v>
      </c>
      <c r="L30" s="7"/>
      <c r="M30" s="7"/>
      <c r="N30" s="10"/>
      <c r="O30" s="11"/>
    </row>
    <row r="31" spans="1:15" ht="15" customHeight="1" x14ac:dyDescent="0.25">
      <c r="A31" s="58"/>
      <c r="B31" s="59" t="s">
        <v>25</v>
      </c>
      <c r="C31" s="60" t="s">
        <v>61</v>
      </c>
      <c r="D31" s="61" t="s">
        <v>120</v>
      </c>
      <c r="E31" s="61">
        <v>42305</v>
      </c>
      <c r="F31" s="6">
        <v>39117.269999999997</v>
      </c>
      <c r="G31" s="6">
        <v>8676.35</v>
      </c>
      <c r="H31" s="6">
        <v>39117.269999999997</v>
      </c>
      <c r="I31" s="63">
        <f>5867.59+2101.04+707.72</f>
        <v>8676.35</v>
      </c>
      <c r="J31" s="6"/>
      <c r="K31" s="6">
        <f t="shared" si="1"/>
        <v>0</v>
      </c>
      <c r="L31" s="7"/>
      <c r="M31" s="7"/>
      <c r="N31" s="10"/>
      <c r="O31" s="11"/>
    </row>
    <row r="32" spans="1:15" ht="15" customHeight="1" x14ac:dyDescent="0.25">
      <c r="A32" s="58"/>
      <c r="B32" s="59" t="s">
        <v>25</v>
      </c>
      <c r="C32" s="60" t="s">
        <v>65</v>
      </c>
      <c r="D32" s="61" t="s">
        <v>120</v>
      </c>
      <c r="E32" s="61">
        <v>42305</v>
      </c>
      <c r="F32" s="6">
        <v>3839.38</v>
      </c>
      <c r="G32" s="6">
        <v>1571.16</v>
      </c>
      <c r="H32" s="6">
        <v>3839.38</v>
      </c>
      <c r="I32" s="6">
        <f>575.91+161.25+834</f>
        <v>1571.1599999999999</v>
      </c>
      <c r="J32" s="6"/>
      <c r="K32" s="6">
        <f t="shared" si="1"/>
        <v>0</v>
      </c>
      <c r="L32" s="7"/>
      <c r="M32" s="7"/>
      <c r="N32" s="10"/>
      <c r="O32" s="11"/>
    </row>
    <row r="33" spans="1:15" ht="15" customHeight="1" x14ac:dyDescent="0.25">
      <c r="A33" s="58"/>
      <c r="B33" s="59" t="s">
        <v>25</v>
      </c>
      <c r="C33" s="60" t="s">
        <v>64</v>
      </c>
      <c r="D33" s="61" t="s">
        <v>120</v>
      </c>
      <c r="E33" s="61">
        <v>42305</v>
      </c>
      <c r="F33" s="6">
        <v>21701.01</v>
      </c>
      <c r="G33" s="6">
        <v>5165.2700000000004</v>
      </c>
      <c r="H33" s="6">
        <v>21701.01</v>
      </c>
      <c r="I33" s="6">
        <f>3255.15+493.77+1416.35</f>
        <v>5165.2700000000004</v>
      </c>
      <c r="J33" s="6"/>
      <c r="K33" s="6">
        <f t="shared" si="1"/>
        <v>0</v>
      </c>
      <c r="L33" s="7"/>
      <c r="M33" s="7"/>
      <c r="N33" s="10"/>
      <c r="O33" s="11"/>
    </row>
    <row r="34" spans="1:15" ht="15" customHeight="1" x14ac:dyDescent="0.25">
      <c r="A34" s="58"/>
      <c r="B34" s="59" t="s">
        <v>25</v>
      </c>
      <c r="C34" s="60" t="s">
        <v>76</v>
      </c>
      <c r="D34" s="61" t="s">
        <v>120</v>
      </c>
      <c r="E34" s="61">
        <v>42305</v>
      </c>
      <c r="F34" s="6">
        <v>7035.05</v>
      </c>
      <c r="G34" s="6">
        <v>2220.5300000000002</v>
      </c>
      <c r="H34" s="6">
        <v>7035.05</v>
      </c>
      <c r="I34" s="6">
        <f>1055.26+302.14+824.26</f>
        <v>2181.66</v>
      </c>
      <c r="J34" s="6"/>
      <c r="K34" s="6">
        <f t="shared" si="1"/>
        <v>38.870000000000346</v>
      </c>
      <c r="L34" s="7"/>
      <c r="M34" s="7"/>
      <c r="N34" s="10"/>
      <c r="O34" s="11"/>
    </row>
    <row r="35" spans="1:15" ht="15" customHeight="1" x14ac:dyDescent="0.25">
      <c r="A35" s="58"/>
      <c r="B35" s="59" t="s">
        <v>25</v>
      </c>
      <c r="C35" s="60" t="s">
        <v>77</v>
      </c>
      <c r="D35" s="61" t="s">
        <v>120</v>
      </c>
      <c r="E35" s="61">
        <v>42305</v>
      </c>
      <c r="F35" s="6">
        <v>32611.23</v>
      </c>
      <c r="G35" s="6">
        <v>7362.52</v>
      </c>
      <c r="H35" s="6">
        <v>32611.23</v>
      </c>
      <c r="I35" s="6">
        <f>4891.68+1189.03+1054.18</f>
        <v>7134.89</v>
      </c>
      <c r="J35" s="6"/>
      <c r="K35" s="6">
        <f t="shared" si="1"/>
        <v>227.63000000000011</v>
      </c>
      <c r="L35" s="7"/>
      <c r="M35" s="7"/>
      <c r="N35" s="10"/>
      <c r="O35" s="11"/>
    </row>
    <row r="36" spans="1:15" ht="15" customHeight="1" x14ac:dyDescent="0.25">
      <c r="A36" s="58"/>
      <c r="B36" s="59" t="s">
        <v>25</v>
      </c>
      <c r="C36" s="60" t="s">
        <v>87</v>
      </c>
      <c r="D36" s="61" t="s">
        <v>120</v>
      </c>
      <c r="E36" s="61">
        <v>42305</v>
      </c>
      <c r="F36" s="6">
        <v>1214.75</v>
      </c>
      <c r="G36" s="6">
        <v>1042.6300000000001</v>
      </c>
      <c r="H36" s="6">
        <v>1214.75</v>
      </c>
      <c r="I36" s="6">
        <f>182.21+664.81</f>
        <v>847.02</v>
      </c>
      <c r="J36" s="6"/>
      <c r="K36" s="6">
        <f t="shared" si="1"/>
        <v>195.61000000000013</v>
      </c>
      <c r="L36" s="7"/>
      <c r="M36" s="7"/>
      <c r="N36" s="10"/>
      <c r="O36" s="11"/>
    </row>
    <row r="37" spans="1:15" ht="15" customHeight="1" x14ac:dyDescent="0.25">
      <c r="A37" s="58"/>
      <c r="B37" s="59" t="s">
        <v>25</v>
      </c>
      <c r="C37" s="60" t="s">
        <v>89</v>
      </c>
      <c r="D37" s="61" t="s">
        <v>120</v>
      </c>
      <c r="E37" s="61">
        <v>42305</v>
      </c>
      <c r="F37" s="6">
        <v>24785.56</v>
      </c>
      <c r="G37" s="6">
        <v>5792.02</v>
      </c>
      <c r="H37" s="6">
        <v>24785.56</v>
      </c>
      <c r="I37" s="6">
        <f>3717.83+1677+397.19</f>
        <v>5792.0199999999995</v>
      </c>
      <c r="J37" s="6"/>
      <c r="K37" s="6">
        <f t="shared" si="1"/>
        <v>0</v>
      </c>
      <c r="L37" s="7"/>
      <c r="M37" s="7"/>
      <c r="N37" s="10"/>
      <c r="O37" s="11"/>
    </row>
    <row r="38" spans="1:15" ht="15" customHeight="1" x14ac:dyDescent="0.25">
      <c r="A38" s="58"/>
      <c r="B38" s="59" t="s">
        <v>25</v>
      </c>
      <c r="C38" s="60" t="s">
        <v>94</v>
      </c>
      <c r="D38" s="61" t="s">
        <v>120</v>
      </c>
      <c r="E38" s="61">
        <v>42305</v>
      </c>
      <c r="F38" s="6">
        <v>94412.01</v>
      </c>
      <c r="G38" s="6">
        <v>21748.48</v>
      </c>
      <c r="H38" s="6">
        <v>94412.01</v>
      </c>
      <c r="I38" s="6">
        <f>14161.8+7586.68</f>
        <v>21748.48</v>
      </c>
      <c r="J38" s="6"/>
      <c r="K38" s="6">
        <f t="shared" si="1"/>
        <v>0</v>
      </c>
      <c r="L38" s="7"/>
      <c r="M38" s="7"/>
      <c r="N38" s="10"/>
      <c r="O38" s="11"/>
    </row>
    <row r="39" spans="1:15" ht="15" customHeight="1" x14ac:dyDescent="0.25">
      <c r="A39" s="58"/>
      <c r="B39" s="59" t="s">
        <v>25</v>
      </c>
      <c r="C39" s="60" t="s">
        <v>95</v>
      </c>
      <c r="D39" s="61" t="s">
        <v>120</v>
      </c>
      <c r="E39" s="61">
        <v>42305</v>
      </c>
      <c r="F39" s="6">
        <v>13967.96</v>
      </c>
      <c r="G39" s="6">
        <v>3609.86</v>
      </c>
      <c r="H39" s="6">
        <v>13967.96</v>
      </c>
      <c r="I39" s="6">
        <f>2095.19+620.93+893.74</f>
        <v>3609.8599999999997</v>
      </c>
      <c r="J39" s="6"/>
      <c r="K39" s="6">
        <f t="shared" si="1"/>
        <v>0</v>
      </c>
      <c r="L39" s="7"/>
      <c r="M39" s="7"/>
      <c r="N39" s="10"/>
      <c r="O39" s="11"/>
    </row>
    <row r="40" spans="1:15" ht="15" customHeight="1" x14ac:dyDescent="0.25">
      <c r="A40" s="58"/>
      <c r="B40" s="59" t="s">
        <v>25</v>
      </c>
      <c r="C40" s="60" t="s">
        <v>98</v>
      </c>
      <c r="D40" s="61" t="s">
        <v>120</v>
      </c>
      <c r="E40" s="61">
        <v>42305</v>
      </c>
      <c r="F40" s="6">
        <v>1530.7</v>
      </c>
      <c r="G40" s="6">
        <v>1110.5899999999999</v>
      </c>
      <c r="H40" s="6">
        <v>1530.7</v>
      </c>
      <c r="I40" s="6">
        <f>229.61+140.34</f>
        <v>369.95000000000005</v>
      </c>
      <c r="J40" s="6"/>
      <c r="K40" s="6">
        <f t="shared" si="1"/>
        <v>740.63999999999987</v>
      </c>
      <c r="L40" s="7"/>
      <c r="M40" s="7"/>
      <c r="N40" s="10"/>
      <c r="O40" s="11"/>
    </row>
    <row r="41" spans="1:15" ht="15" customHeight="1" x14ac:dyDescent="0.25">
      <c r="A41" s="58"/>
      <c r="B41" s="59" t="s">
        <v>25</v>
      </c>
      <c r="C41" s="60" t="s">
        <v>104</v>
      </c>
      <c r="D41" s="61" t="s">
        <v>120</v>
      </c>
      <c r="E41" s="61">
        <v>42305</v>
      </c>
      <c r="F41" s="6">
        <v>9381.7900000000009</v>
      </c>
      <c r="G41" s="6">
        <v>2688.67</v>
      </c>
      <c r="H41" s="6">
        <v>9381.7900000000009</v>
      </c>
      <c r="I41" s="6">
        <f>1407.27+1268.9</f>
        <v>2676.17</v>
      </c>
      <c r="J41" s="6"/>
      <c r="K41" s="6">
        <f t="shared" si="1"/>
        <v>12.5</v>
      </c>
      <c r="L41" s="7"/>
      <c r="M41" s="7"/>
      <c r="N41" s="10"/>
      <c r="O41" s="11"/>
    </row>
    <row r="42" spans="1:15" ht="15" customHeight="1" x14ac:dyDescent="0.25">
      <c r="A42" s="58"/>
      <c r="B42" s="59" t="s">
        <v>25</v>
      </c>
      <c r="C42" s="60" t="s">
        <v>99</v>
      </c>
      <c r="D42" s="61" t="s">
        <v>120</v>
      </c>
      <c r="E42" s="61">
        <v>42305</v>
      </c>
      <c r="F42" s="6">
        <v>7871.28</v>
      </c>
      <c r="G42" s="6">
        <v>2379.1</v>
      </c>
      <c r="H42" s="6">
        <v>7871.28</v>
      </c>
      <c r="I42" s="6">
        <f>1180.69+47.52+714.59</f>
        <v>1942.8000000000002</v>
      </c>
      <c r="J42" s="6"/>
      <c r="K42" s="6">
        <f t="shared" si="1"/>
        <v>436.29999999999973</v>
      </c>
      <c r="L42" s="7"/>
      <c r="M42" s="7"/>
      <c r="N42" s="10"/>
      <c r="O42" s="11"/>
    </row>
    <row r="43" spans="1:15" ht="15" customHeight="1" x14ac:dyDescent="0.25">
      <c r="A43" s="58"/>
      <c r="B43" s="59" t="s">
        <v>25</v>
      </c>
      <c r="C43" s="60" t="s">
        <v>88</v>
      </c>
      <c r="D43" s="61" t="s">
        <v>120</v>
      </c>
      <c r="E43" s="61">
        <v>42305</v>
      </c>
      <c r="F43" s="6">
        <v>19296.88</v>
      </c>
      <c r="G43" s="6">
        <v>4682.0600000000004</v>
      </c>
      <c r="H43" s="6">
        <v>19296.88</v>
      </c>
      <c r="I43" s="6">
        <f>2894.53+257.2+669.55</f>
        <v>3821.2799999999997</v>
      </c>
      <c r="J43" s="6"/>
      <c r="K43" s="6">
        <f t="shared" si="1"/>
        <v>860.78000000000065</v>
      </c>
      <c r="L43" s="7"/>
      <c r="M43" s="7"/>
      <c r="N43" s="10"/>
      <c r="O43" s="11"/>
    </row>
    <row r="44" spans="1:15" ht="15" customHeight="1" x14ac:dyDescent="0.25">
      <c r="A44" s="58"/>
      <c r="B44" s="59" t="s">
        <v>32</v>
      </c>
      <c r="C44" s="60" t="s">
        <v>33</v>
      </c>
      <c r="D44" s="61" t="s">
        <v>120</v>
      </c>
      <c r="E44" s="61">
        <v>42305</v>
      </c>
      <c r="F44" s="6">
        <v>20523.810000000001</v>
      </c>
      <c r="G44" s="6">
        <v>2425</v>
      </c>
      <c r="H44" s="6">
        <v>20523.810000000001</v>
      </c>
      <c r="I44" s="63">
        <v>2425</v>
      </c>
      <c r="J44" s="6"/>
      <c r="K44" s="6"/>
      <c r="L44" s="7"/>
      <c r="M44" s="7"/>
      <c r="N44" s="10"/>
      <c r="O44" s="11"/>
    </row>
    <row r="45" spans="1:15" ht="15" customHeight="1" x14ac:dyDescent="0.25">
      <c r="A45" s="58"/>
      <c r="B45" s="59" t="s">
        <v>30</v>
      </c>
      <c r="C45" s="60" t="s">
        <v>31</v>
      </c>
      <c r="D45" s="61" t="s">
        <v>120</v>
      </c>
      <c r="E45" s="61">
        <v>42305</v>
      </c>
      <c r="F45" s="6">
        <v>27368.68</v>
      </c>
      <c r="G45" s="6">
        <v>2463.75</v>
      </c>
      <c r="H45" s="6">
        <v>27368.68</v>
      </c>
      <c r="I45" s="6">
        <v>2463.75</v>
      </c>
      <c r="J45" s="6"/>
      <c r="K45" s="6"/>
      <c r="L45" s="7"/>
      <c r="M45" s="7"/>
      <c r="N45" s="10"/>
      <c r="O45" s="11"/>
    </row>
    <row r="46" spans="1:15" ht="15" customHeight="1" x14ac:dyDescent="0.25">
      <c r="A46" s="58"/>
      <c r="B46" s="59" t="s">
        <v>81</v>
      </c>
      <c r="C46" s="60" t="s">
        <v>82</v>
      </c>
      <c r="D46" s="61" t="s">
        <v>120</v>
      </c>
      <c r="E46" s="61">
        <v>42306</v>
      </c>
      <c r="F46" s="6">
        <v>2550.7600000000002</v>
      </c>
      <c r="G46" s="6">
        <v>630.47</v>
      </c>
      <c r="H46" s="6">
        <v>2550.7600000000002</v>
      </c>
      <c r="I46" s="6">
        <f>382.61+130.81+117.05</f>
        <v>630.47</v>
      </c>
      <c r="J46" s="6"/>
      <c r="K46" s="6">
        <f>G46-I46</f>
        <v>0</v>
      </c>
      <c r="L46" s="7"/>
      <c r="M46" s="7"/>
      <c r="N46" s="10"/>
      <c r="O46" s="11"/>
    </row>
    <row r="47" spans="1:15" ht="15" customHeight="1" x14ac:dyDescent="0.25">
      <c r="A47" s="58"/>
      <c r="B47" s="59" t="s">
        <v>21</v>
      </c>
      <c r="C47" s="60" t="s">
        <v>22</v>
      </c>
      <c r="D47" s="61" t="s">
        <v>121</v>
      </c>
      <c r="E47" s="61">
        <v>42306</v>
      </c>
      <c r="F47" s="6">
        <v>2945.92</v>
      </c>
      <c r="G47" s="6">
        <v>877.32</v>
      </c>
      <c r="H47" s="6">
        <v>2945.92</v>
      </c>
      <c r="I47" s="6">
        <f>441.89+147.82</f>
        <v>589.71</v>
      </c>
      <c r="J47" s="6"/>
      <c r="K47" s="6">
        <f>G47-I47</f>
        <v>287.61</v>
      </c>
      <c r="L47" s="7"/>
      <c r="M47" s="7"/>
      <c r="N47" s="10"/>
      <c r="O47" s="11"/>
    </row>
    <row r="48" spans="1:15" ht="15" customHeight="1" x14ac:dyDescent="0.25">
      <c r="A48" s="58"/>
      <c r="B48" s="59" t="s">
        <v>28</v>
      </c>
      <c r="C48" s="60" t="s">
        <v>29</v>
      </c>
      <c r="D48" s="61" t="s">
        <v>120</v>
      </c>
      <c r="E48" s="61">
        <v>42306</v>
      </c>
      <c r="F48" s="6">
        <v>210238.84</v>
      </c>
      <c r="G48" s="6">
        <v>33392.239999999998</v>
      </c>
      <c r="H48" s="6">
        <v>210058.84</v>
      </c>
      <c r="I48" s="64">
        <f>31508.83+1830.41+53</f>
        <v>33392.240000000005</v>
      </c>
      <c r="J48" s="6"/>
      <c r="K48" s="6">
        <f>G48-I48</f>
        <v>0</v>
      </c>
      <c r="L48" s="7"/>
      <c r="M48" s="7"/>
      <c r="N48" s="10">
        <f>F48-H48</f>
        <v>180</v>
      </c>
      <c r="O48" s="11"/>
    </row>
    <row r="49" spans="1:15" s="73" customFormat="1" ht="15" customHeight="1" x14ac:dyDescent="0.25">
      <c r="A49" s="65"/>
      <c r="B49" s="66" t="s">
        <v>34</v>
      </c>
      <c r="C49" s="67" t="s">
        <v>35</v>
      </c>
      <c r="D49" s="68" t="s">
        <v>120</v>
      </c>
      <c r="E49" s="68">
        <v>42306</v>
      </c>
      <c r="F49" s="69">
        <v>9278.0499999999993</v>
      </c>
      <c r="G49" s="69">
        <v>1919.85</v>
      </c>
      <c r="H49" s="69">
        <v>9278.0499999999993</v>
      </c>
      <c r="I49" s="69">
        <f>1755.9</f>
        <v>1755.9</v>
      </c>
      <c r="J49" s="69"/>
      <c r="K49" s="69">
        <v>163.95</v>
      </c>
      <c r="L49" s="70"/>
      <c r="M49" s="70"/>
      <c r="N49" s="71"/>
      <c r="O49" s="72"/>
    </row>
    <row r="50" spans="1:15" ht="15" customHeight="1" x14ac:dyDescent="0.25">
      <c r="A50" s="58"/>
      <c r="B50" s="59" t="s">
        <v>62</v>
      </c>
      <c r="C50" s="60" t="s">
        <v>63</v>
      </c>
      <c r="D50" s="61" t="s">
        <v>120</v>
      </c>
      <c r="E50" s="61">
        <v>42306</v>
      </c>
      <c r="F50" s="6">
        <v>28416.09</v>
      </c>
      <c r="G50" s="6">
        <v>4725.9799999999996</v>
      </c>
      <c r="H50" s="6">
        <v>28416.09</v>
      </c>
      <c r="I50" s="6">
        <v>4725.9799999999996</v>
      </c>
      <c r="J50" s="6"/>
      <c r="K50" s="6">
        <f>G50-I50</f>
        <v>0</v>
      </c>
      <c r="L50" s="7"/>
      <c r="M50" s="7"/>
      <c r="N50" s="10"/>
      <c r="O50" s="11"/>
    </row>
    <row r="51" spans="1:15" ht="15" customHeight="1" x14ac:dyDescent="0.25">
      <c r="A51" s="58"/>
      <c r="B51" s="59" t="s">
        <v>52</v>
      </c>
      <c r="C51" s="60" t="s">
        <v>53</v>
      </c>
      <c r="D51" s="61" t="s">
        <v>120</v>
      </c>
      <c r="E51" s="61">
        <v>42307</v>
      </c>
      <c r="F51" s="6">
        <v>4928.0200000000004</v>
      </c>
      <c r="G51" s="6">
        <v>542.09</v>
      </c>
      <c r="H51" s="6">
        <v>4928.0200000000004</v>
      </c>
      <c r="I51" s="6">
        <v>542.09</v>
      </c>
      <c r="J51" s="6"/>
      <c r="K51" s="6"/>
      <c r="L51" s="7"/>
      <c r="M51" s="7"/>
      <c r="N51" s="10"/>
      <c r="O51" s="11"/>
    </row>
    <row r="52" spans="1:15" x14ac:dyDescent="0.25">
      <c r="A52" s="58"/>
      <c r="B52" s="59" t="s">
        <v>40</v>
      </c>
      <c r="C52" s="60" t="s">
        <v>41</v>
      </c>
      <c r="D52" s="61" t="s">
        <v>121</v>
      </c>
      <c r="E52" s="61">
        <v>42307</v>
      </c>
      <c r="F52" s="6">
        <v>29675.74</v>
      </c>
      <c r="G52" s="6">
        <v>3319.43</v>
      </c>
      <c r="H52" s="6">
        <v>29675.74</v>
      </c>
      <c r="I52" s="6">
        <v>3319.43</v>
      </c>
      <c r="J52" s="6"/>
      <c r="K52" s="6">
        <f>G52-I52</f>
        <v>0</v>
      </c>
      <c r="L52" s="7"/>
      <c r="M52" s="7"/>
      <c r="N52" s="10"/>
      <c r="O52" s="11"/>
    </row>
    <row r="53" spans="1:15" ht="15" customHeight="1" x14ac:dyDescent="0.25">
      <c r="A53" s="58"/>
      <c r="B53" s="59" t="s">
        <v>58</v>
      </c>
      <c r="C53" s="60" t="s">
        <v>59</v>
      </c>
      <c r="D53" s="61" t="s">
        <v>121</v>
      </c>
      <c r="E53" s="61">
        <v>42324</v>
      </c>
      <c r="F53" s="6">
        <v>4697.5</v>
      </c>
      <c r="G53" s="6">
        <v>1658.25</v>
      </c>
      <c r="H53" s="6">
        <v>4697.5</v>
      </c>
      <c r="I53" s="6">
        <v>704.63</v>
      </c>
      <c r="J53" s="6"/>
      <c r="K53" s="6">
        <f>G53-I53</f>
        <v>953.62</v>
      </c>
      <c r="L53" s="7"/>
      <c r="M53" s="7"/>
      <c r="N53" s="10"/>
      <c r="O53" s="11"/>
    </row>
    <row r="54" spans="1:15" ht="15" customHeight="1" x14ac:dyDescent="0.25">
      <c r="A54" s="58"/>
      <c r="B54" s="59" t="s">
        <v>45</v>
      </c>
      <c r="C54" s="60" t="s">
        <v>46</v>
      </c>
      <c r="D54" s="61" t="s">
        <v>120</v>
      </c>
      <c r="E54" s="61">
        <v>42307</v>
      </c>
      <c r="F54" s="6">
        <v>9077.56</v>
      </c>
      <c r="G54" s="6">
        <v>1361.64</v>
      </c>
      <c r="H54" s="6">
        <v>9077.56</v>
      </c>
      <c r="I54" s="6">
        <v>1361.63</v>
      </c>
      <c r="J54" s="6"/>
      <c r="K54" s="6">
        <f>G54-I54</f>
        <v>9.9999999999909051E-3</v>
      </c>
      <c r="L54" s="7"/>
      <c r="M54" s="7"/>
      <c r="N54" s="10"/>
      <c r="O54" s="11"/>
    </row>
    <row r="55" spans="1:15" ht="15" customHeight="1" x14ac:dyDescent="0.25">
      <c r="A55" s="58"/>
      <c r="B55" s="59" t="s">
        <v>92</v>
      </c>
      <c r="C55" s="60" t="s">
        <v>93</v>
      </c>
      <c r="D55" s="61" t="s">
        <v>120</v>
      </c>
      <c r="E55" s="61">
        <v>42318</v>
      </c>
      <c r="F55" s="6">
        <v>39430.949999999997</v>
      </c>
      <c r="G55" s="6">
        <v>5914.64</v>
      </c>
      <c r="H55" s="6">
        <v>39430.949999999997</v>
      </c>
      <c r="I55" s="6">
        <v>5914.64</v>
      </c>
      <c r="J55" s="6"/>
      <c r="K55" s="6"/>
      <c r="L55" s="7"/>
      <c r="M55" s="7"/>
      <c r="N55" s="10"/>
      <c r="O55" s="11"/>
    </row>
    <row r="56" spans="1:15" ht="15" customHeight="1" x14ac:dyDescent="0.25">
      <c r="A56" s="58"/>
      <c r="B56" s="59" t="s">
        <v>38</v>
      </c>
      <c r="C56" s="60" t="s">
        <v>39</v>
      </c>
      <c r="D56" s="61" t="s">
        <v>120</v>
      </c>
      <c r="E56" s="61">
        <v>42319</v>
      </c>
      <c r="F56" s="6">
        <v>37404.230000000003</v>
      </c>
      <c r="G56" s="6">
        <v>12252.68</v>
      </c>
      <c r="H56" s="6">
        <v>37404.230000000003</v>
      </c>
      <c r="I56" s="6">
        <v>5610.63</v>
      </c>
      <c r="J56" s="6"/>
      <c r="K56" s="6">
        <f>G56-I56</f>
        <v>6642.05</v>
      </c>
      <c r="L56" s="7"/>
      <c r="M56" s="7"/>
      <c r="N56" s="10"/>
      <c r="O56" s="11"/>
    </row>
    <row r="57" spans="1:15" ht="15" customHeight="1" x14ac:dyDescent="0.25">
      <c r="A57" s="58"/>
      <c r="B57" s="59" t="s">
        <v>54</v>
      </c>
      <c r="C57" s="60" t="s">
        <v>55</v>
      </c>
      <c r="D57" s="61" t="s">
        <v>121</v>
      </c>
      <c r="E57" s="61">
        <v>42300</v>
      </c>
      <c r="F57" s="6">
        <v>5319.46</v>
      </c>
      <c r="G57" s="6">
        <v>955.08</v>
      </c>
      <c r="H57" s="6">
        <v>5319.46</v>
      </c>
      <c r="I57" s="6">
        <f>797.92+157.16</f>
        <v>955.07999999999993</v>
      </c>
      <c r="J57" s="6"/>
      <c r="K57" s="6"/>
      <c r="L57" s="7"/>
      <c r="M57" s="7"/>
      <c r="N57" s="10"/>
      <c r="O57" s="11"/>
    </row>
    <row r="58" spans="1:15" ht="15" customHeight="1" x14ac:dyDescent="0.25">
      <c r="A58" s="58"/>
      <c r="B58" s="59" t="s">
        <v>47</v>
      </c>
      <c r="C58" s="60" t="s">
        <v>48</v>
      </c>
      <c r="D58" s="61" t="s">
        <v>120</v>
      </c>
      <c r="E58" s="61">
        <v>42324</v>
      </c>
      <c r="F58" s="6">
        <v>25097.96</v>
      </c>
      <c r="G58" s="6">
        <v>13620.83</v>
      </c>
      <c r="H58" s="6">
        <v>25097.96</v>
      </c>
      <c r="I58" s="6">
        <f>5237.8+4661.58</f>
        <v>9899.380000000001</v>
      </c>
      <c r="J58" s="6"/>
      <c r="K58" s="6">
        <f>G58-I58</f>
        <v>3721.4499999999989</v>
      </c>
      <c r="L58" s="7"/>
      <c r="M58" s="7"/>
      <c r="N58" s="10"/>
      <c r="O58" s="11"/>
    </row>
    <row r="59" spans="1:15" ht="15" customHeight="1" x14ac:dyDescent="0.25">
      <c r="A59" s="58"/>
      <c r="B59" s="59" t="s">
        <v>23</v>
      </c>
      <c r="C59" s="60" t="s">
        <v>24</v>
      </c>
      <c r="D59" s="61" t="s">
        <v>120</v>
      </c>
      <c r="E59" s="61">
        <v>42326</v>
      </c>
      <c r="F59" s="6">
        <v>5680.5</v>
      </c>
      <c r="G59" s="6">
        <v>852.08</v>
      </c>
      <c r="H59" s="6">
        <v>5680.5</v>
      </c>
      <c r="I59" s="6">
        <v>852.08</v>
      </c>
      <c r="J59" s="6"/>
      <c r="K59" s="6"/>
      <c r="L59" s="7"/>
      <c r="M59" s="7"/>
      <c r="N59" s="10"/>
      <c r="O59" s="11"/>
    </row>
    <row r="60" spans="1:15" ht="15" customHeight="1" x14ac:dyDescent="0.25">
      <c r="A60" s="58"/>
      <c r="B60" s="59" t="s">
        <v>79</v>
      </c>
      <c r="C60" s="60" t="s">
        <v>80</v>
      </c>
      <c r="D60" s="61" t="s">
        <v>122</v>
      </c>
      <c r="E60" s="61">
        <v>42321</v>
      </c>
      <c r="F60" s="6">
        <v>45671.32</v>
      </c>
      <c r="G60" s="6">
        <v>14242.5</v>
      </c>
      <c r="H60" s="6">
        <v>45671.32</v>
      </c>
      <c r="I60" s="6">
        <v>6850.7</v>
      </c>
      <c r="J60" s="6"/>
      <c r="K60" s="6">
        <f>G60-I60</f>
        <v>7391.8</v>
      </c>
      <c r="L60" s="7"/>
      <c r="M60" s="7"/>
      <c r="N60" s="10"/>
      <c r="O60" s="11"/>
    </row>
    <row r="61" spans="1:15" x14ac:dyDescent="0.25">
      <c r="A61" s="58"/>
      <c r="B61" s="59" t="s">
        <v>40</v>
      </c>
      <c r="C61" s="60" t="s">
        <v>41</v>
      </c>
      <c r="D61" s="61" t="s">
        <v>122</v>
      </c>
      <c r="E61" s="61">
        <v>42321</v>
      </c>
      <c r="F61" s="6">
        <v>35931.35</v>
      </c>
      <c r="G61" s="6">
        <v>6829.33</v>
      </c>
      <c r="H61" s="6">
        <v>35931.35</v>
      </c>
      <c r="I61" s="6">
        <f>5389.7025+1439.63</f>
        <v>6829.3325000000004</v>
      </c>
      <c r="J61" s="6"/>
      <c r="K61" s="6">
        <f>G61-I61</f>
        <v>-2.500000000509317E-3</v>
      </c>
      <c r="L61" s="7"/>
      <c r="M61" s="7"/>
      <c r="N61" s="10"/>
      <c r="O61" s="11"/>
    </row>
    <row r="62" spans="1:15" ht="15" customHeight="1" x14ac:dyDescent="0.25">
      <c r="A62" s="58"/>
      <c r="B62" s="59" t="s">
        <v>54</v>
      </c>
      <c r="C62" s="60" t="s">
        <v>55</v>
      </c>
      <c r="D62" s="61" t="s">
        <v>122</v>
      </c>
      <c r="E62" s="61">
        <v>42331</v>
      </c>
      <c r="F62" s="6">
        <v>14165.56</v>
      </c>
      <c r="G62" s="6">
        <v>955.08</v>
      </c>
      <c r="H62" s="6">
        <v>14165.56</v>
      </c>
      <c r="I62" s="6">
        <v>955.08</v>
      </c>
      <c r="J62" s="6"/>
      <c r="K62" s="6"/>
      <c r="L62" s="7"/>
      <c r="M62" s="7"/>
      <c r="N62" s="10"/>
      <c r="O62" s="11"/>
    </row>
    <row r="63" spans="1:15" ht="15" customHeight="1" x14ac:dyDescent="0.25">
      <c r="A63" s="58"/>
      <c r="B63" s="59" t="s">
        <v>21</v>
      </c>
      <c r="C63" s="60" t="s">
        <v>22</v>
      </c>
      <c r="D63" s="61" t="s">
        <v>122</v>
      </c>
      <c r="E63" s="61">
        <v>42335</v>
      </c>
      <c r="F63" s="6">
        <v>1308.55</v>
      </c>
      <c r="G63" s="6">
        <v>423.87</v>
      </c>
      <c r="H63" s="6">
        <v>1308.55</v>
      </c>
      <c r="I63" s="6">
        <v>196.28</v>
      </c>
      <c r="J63" s="6"/>
      <c r="K63" s="6">
        <f>G63-I63</f>
        <v>227.59</v>
      </c>
      <c r="L63" s="7"/>
      <c r="M63" s="7"/>
      <c r="N63" s="10"/>
      <c r="O63" s="11"/>
    </row>
    <row r="64" spans="1:15" ht="15" customHeight="1" x14ac:dyDescent="0.25">
      <c r="A64" s="58"/>
      <c r="B64" s="59" t="s">
        <v>58</v>
      </c>
      <c r="C64" s="60" t="s">
        <v>59</v>
      </c>
      <c r="D64" s="61" t="s">
        <v>122</v>
      </c>
      <c r="E64" s="61">
        <v>42338</v>
      </c>
      <c r="F64" s="6">
        <v>5790.2</v>
      </c>
      <c r="G64" s="6">
        <v>1891.94</v>
      </c>
      <c r="H64" s="6">
        <v>5790.2</v>
      </c>
      <c r="I64" s="6">
        <v>868.53</v>
      </c>
      <c r="J64" s="6"/>
      <c r="K64" s="6">
        <f>G64-I64</f>
        <v>1023.4100000000001</v>
      </c>
      <c r="L64" s="7"/>
      <c r="M64" s="7"/>
      <c r="N64" s="10"/>
      <c r="O64" s="11"/>
    </row>
    <row r="65" spans="1:15" ht="15" customHeight="1" x14ac:dyDescent="0.25">
      <c r="A65" s="58"/>
      <c r="B65" s="59" t="s">
        <v>79</v>
      </c>
      <c r="C65" s="60" t="s">
        <v>80</v>
      </c>
      <c r="D65" s="61" t="s">
        <v>123</v>
      </c>
      <c r="E65" s="61">
        <v>42348</v>
      </c>
      <c r="F65" s="6">
        <v>28105.69</v>
      </c>
      <c r="G65" s="6">
        <v>17077.5</v>
      </c>
      <c r="H65" s="6">
        <v>28105.69</v>
      </c>
      <c r="I65" s="6">
        <v>4215.8500000000004</v>
      </c>
      <c r="J65" s="6"/>
      <c r="K65" s="6">
        <f>G65-I65</f>
        <v>12861.65</v>
      </c>
      <c r="L65" s="7"/>
      <c r="M65" s="7"/>
      <c r="N65" s="10"/>
      <c r="O65" s="11"/>
    </row>
    <row r="66" spans="1:15" ht="15" customHeight="1" x14ac:dyDescent="0.25">
      <c r="A66" s="58"/>
      <c r="B66" s="59" t="s">
        <v>21</v>
      </c>
      <c r="C66" s="60" t="s">
        <v>22</v>
      </c>
      <c r="D66" s="61" t="s">
        <v>123</v>
      </c>
      <c r="E66" s="61">
        <v>42355</v>
      </c>
      <c r="F66" s="6">
        <v>2706.56</v>
      </c>
      <c r="G66" s="6">
        <v>207.01</v>
      </c>
      <c r="H66" s="6">
        <v>2706.56</v>
      </c>
      <c r="I66" s="6">
        <v>207.01</v>
      </c>
      <c r="J66" s="6"/>
      <c r="K66" s="6">
        <f>G66-I66</f>
        <v>0</v>
      </c>
      <c r="L66" s="7"/>
      <c r="M66" s="7"/>
      <c r="N66" s="10"/>
      <c r="O66" s="11"/>
    </row>
    <row r="67" spans="1:15" ht="15" customHeight="1" x14ac:dyDescent="0.25">
      <c r="A67" s="58"/>
      <c r="B67" s="59" t="s">
        <v>58</v>
      </c>
      <c r="C67" s="60" t="s">
        <v>59</v>
      </c>
      <c r="D67" s="61" t="s">
        <v>123</v>
      </c>
      <c r="E67" s="61">
        <v>42374</v>
      </c>
      <c r="F67" s="6">
        <v>5597.31</v>
      </c>
      <c r="G67" s="6">
        <v>3483.66</v>
      </c>
      <c r="H67" s="6">
        <v>5597.31</v>
      </c>
      <c r="I67" s="6">
        <v>839.6</v>
      </c>
      <c r="J67" s="6"/>
      <c r="K67" s="6">
        <f>G67-I67</f>
        <v>2644.06</v>
      </c>
      <c r="L67" s="7"/>
      <c r="M67" s="7"/>
      <c r="N67" s="10"/>
      <c r="O67" s="11"/>
    </row>
    <row r="68" spans="1:15" ht="15" customHeight="1" x14ac:dyDescent="0.25">
      <c r="A68" s="58"/>
      <c r="B68" s="59" t="s">
        <v>54</v>
      </c>
      <c r="C68" s="60" t="s">
        <v>55</v>
      </c>
      <c r="D68" s="61" t="s">
        <v>123</v>
      </c>
      <c r="E68" s="61">
        <v>42360</v>
      </c>
      <c r="F68" s="6">
        <v>8526.0499999999993</v>
      </c>
      <c r="G68" s="6">
        <v>1096.1400000000001</v>
      </c>
      <c r="H68" s="6">
        <v>8526.0499999999993</v>
      </c>
      <c r="I68" s="6">
        <v>1096.1400000000001</v>
      </c>
      <c r="J68" s="6"/>
      <c r="K68" s="6"/>
      <c r="L68" s="7"/>
      <c r="M68" s="7"/>
      <c r="N68" s="10"/>
      <c r="O68" s="11"/>
    </row>
    <row r="69" spans="1:15" x14ac:dyDescent="0.25">
      <c r="A69" s="58"/>
      <c r="B69" s="59" t="s">
        <v>40</v>
      </c>
      <c r="C69" s="60" t="s">
        <v>41</v>
      </c>
      <c r="D69" s="61" t="s">
        <v>123</v>
      </c>
      <c r="E69" s="61">
        <v>42361</v>
      </c>
      <c r="F69" s="6">
        <v>45028.56</v>
      </c>
      <c r="G69" s="6">
        <v>4163.4399999999996</v>
      </c>
      <c r="H69" s="6">
        <v>45028.56</v>
      </c>
      <c r="I69" s="6">
        <f>4163.44</f>
        <v>4163.4399999999996</v>
      </c>
      <c r="J69" s="6"/>
      <c r="K69" s="6">
        <f>G69-I69</f>
        <v>0</v>
      </c>
      <c r="L69" s="7"/>
      <c r="M69" s="7"/>
      <c r="N69" s="10"/>
      <c r="O69" s="11"/>
    </row>
    <row r="70" spans="1:15" ht="15" customHeight="1" x14ac:dyDescent="0.25">
      <c r="A70" s="58"/>
      <c r="B70" s="59" t="s">
        <v>34</v>
      </c>
      <c r="C70" s="60" t="s">
        <v>35</v>
      </c>
      <c r="D70" s="61" t="s">
        <v>124</v>
      </c>
      <c r="E70" s="61">
        <v>42377</v>
      </c>
      <c r="F70" s="6">
        <v>2427.92</v>
      </c>
      <c r="G70" s="6">
        <v>0</v>
      </c>
      <c r="H70" s="6">
        <v>2427.92</v>
      </c>
      <c r="I70" s="6">
        <v>0</v>
      </c>
      <c r="J70" s="6"/>
      <c r="K70" s="6">
        <f>G70-I70</f>
        <v>0</v>
      </c>
      <c r="L70" s="7"/>
      <c r="M70" s="7"/>
      <c r="N70" s="10"/>
      <c r="O70" s="11"/>
    </row>
    <row r="71" spans="1:15" ht="15" customHeight="1" x14ac:dyDescent="0.25">
      <c r="A71" s="58"/>
      <c r="B71" s="59" t="s">
        <v>79</v>
      </c>
      <c r="C71" s="60" t="s">
        <v>80</v>
      </c>
      <c r="D71" s="61" t="s">
        <v>125</v>
      </c>
      <c r="E71" s="61">
        <v>42378</v>
      </c>
      <c r="F71" s="6">
        <v>29149.08</v>
      </c>
      <c r="G71" s="6">
        <v>12285</v>
      </c>
      <c r="H71" s="6">
        <v>29149.08</v>
      </c>
      <c r="I71" s="6">
        <v>4372.3599999999997</v>
      </c>
      <c r="J71" s="6"/>
      <c r="K71" s="6">
        <f>G71-I71</f>
        <v>7912.64</v>
      </c>
      <c r="L71" s="7"/>
      <c r="M71" s="7"/>
      <c r="N71" s="10"/>
      <c r="O71" s="11"/>
    </row>
    <row r="72" spans="1:15" ht="15" customHeight="1" x14ac:dyDescent="0.25">
      <c r="A72" s="58"/>
      <c r="B72" s="59" t="s">
        <v>47</v>
      </c>
      <c r="C72" s="60" t="s">
        <v>48</v>
      </c>
      <c r="D72" s="61" t="s">
        <v>124</v>
      </c>
      <c r="E72" s="61">
        <v>42381</v>
      </c>
      <c r="F72" s="6">
        <v>31884.05</v>
      </c>
      <c r="G72" s="6">
        <v>3303.64</v>
      </c>
      <c r="H72" s="6">
        <v>31844.95</v>
      </c>
      <c r="I72" s="6">
        <v>3303.64</v>
      </c>
      <c r="J72" s="6"/>
      <c r="K72" s="6">
        <f>G72-I72</f>
        <v>0</v>
      </c>
      <c r="L72" s="7"/>
      <c r="M72" s="7"/>
      <c r="N72" s="10">
        <f>F72-H72</f>
        <v>39.099999999998545</v>
      </c>
      <c r="O72" s="11"/>
    </row>
    <row r="73" spans="1:15" ht="15.75" customHeight="1" x14ac:dyDescent="0.25">
      <c r="A73" s="58"/>
      <c r="B73" s="59" t="s">
        <v>42</v>
      </c>
      <c r="C73" s="60" t="s">
        <v>78</v>
      </c>
      <c r="D73" s="61" t="s">
        <v>124</v>
      </c>
      <c r="E73" s="61">
        <v>42382</v>
      </c>
      <c r="F73" s="6">
        <v>56795.17</v>
      </c>
      <c r="G73" s="6">
        <v>61116.99</v>
      </c>
      <c r="H73" s="74">
        <v>56795.17</v>
      </c>
      <c r="I73" s="63">
        <v>8519.2800000000007</v>
      </c>
      <c r="J73" s="6"/>
      <c r="K73" s="6">
        <f t="shared" ref="K73" si="2">G73-I73</f>
        <v>52597.71</v>
      </c>
      <c r="L73" s="7"/>
      <c r="M73" s="7"/>
      <c r="N73" s="10"/>
      <c r="O73" s="11"/>
    </row>
    <row r="74" spans="1:15" ht="15" customHeight="1" x14ac:dyDescent="0.25">
      <c r="A74" s="58"/>
      <c r="B74" s="59" t="s">
        <v>42</v>
      </c>
      <c r="C74" s="60" t="s">
        <v>43</v>
      </c>
      <c r="D74" s="61" t="s">
        <v>124</v>
      </c>
      <c r="E74" s="61">
        <v>42382</v>
      </c>
      <c r="F74" s="6">
        <v>27640.95</v>
      </c>
      <c r="G74" s="6">
        <v>4216.9399999999996</v>
      </c>
      <c r="H74" s="6">
        <v>27640.95</v>
      </c>
      <c r="I74" s="6">
        <v>4146.1400000000003</v>
      </c>
      <c r="J74" s="6"/>
      <c r="K74" s="6">
        <f>G74-I74</f>
        <v>70.799999999999272</v>
      </c>
      <c r="L74" s="7"/>
      <c r="M74" s="7"/>
      <c r="N74" s="10"/>
      <c r="O74" s="11"/>
    </row>
    <row r="75" spans="1:15" ht="15" customHeight="1" x14ac:dyDescent="0.25">
      <c r="A75" s="58"/>
      <c r="B75" s="59" t="s">
        <v>32</v>
      </c>
      <c r="C75" s="60" t="s">
        <v>33</v>
      </c>
      <c r="D75" s="61" t="s">
        <v>124</v>
      </c>
      <c r="E75" s="61">
        <v>42389</v>
      </c>
      <c r="F75" s="6">
        <v>11180.9</v>
      </c>
      <c r="G75" s="6">
        <v>2525</v>
      </c>
      <c r="H75" s="6">
        <v>11180.9</v>
      </c>
      <c r="I75" s="63">
        <f>1677.14+653.57+194.29</f>
        <v>2525</v>
      </c>
      <c r="J75" s="6"/>
      <c r="K75" s="6">
        <f>G75-I75</f>
        <v>0</v>
      </c>
      <c r="L75" s="7"/>
      <c r="M75" s="7"/>
      <c r="N75" s="10"/>
      <c r="O75" s="11"/>
    </row>
    <row r="76" spans="1:15" ht="15" customHeight="1" x14ac:dyDescent="0.25">
      <c r="A76" s="58"/>
      <c r="B76" s="59" t="s">
        <v>42</v>
      </c>
      <c r="C76" s="60" t="s">
        <v>44</v>
      </c>
      <c r="D76" s="61" t="s">
        <v>124</v>
      </c>
      <c r="E76" s="61">
        <v>42394</v>
      </c>
      <c r="F76" s="6">
        <v>25212.77</v>
      </c>
      <c r="G76" s="6">
        <v>27840.91</v>
      </c>
      <c r="H76" s="6">
        <v>25212.77</v>
      </c>
      <c r="I76" s="6">
        <v>3781.92</v>
      </c>
      <c r="J76" s="6"/>
      <c r="K76" s="6">
        <f>G76-I76</f>
        <v>24058.989999999998</v>
      </c>
      <c r="L76" s="7"/>
      <c r="M76" s="7"/>
      <c r="N76" s="10"/>
      <c r="O76" s="11"/>
    </row>
    <row r="77" spans="1:15" ht="15" customHeight="1" x14ac:dyDescent="0.25">
      <c r="A77" s="58"/>
      <c r="B77" s="59" t="s">
        <v>30</v>
      </c>
      <c r="C77" s="60" t="s">
        <v>31</v>
      </c>
      <c r="D77" s="61" t="s">
        <v>124</v>
      </c>
      <c r="E77" s="61">
        <v>42395</v>
      </c>
      <c r="F77" s="6">
        <v>33907.660000000003</v>
      </c>
      <c r="G77" s="6">
        <v>5722.58</v>
      </c>
      <c r="H77" s="6">
        <v>33907.660000000003</v>
      </c>
      <c r="I77" s="6">
        <f>5086.15+636.43</f>
        <v>5722.58</v>
      </c>
      <c r="J77" s="6"/>
      <c r="K77" s="6"/>
      <c r="L77" s="7"/>
      <c r="M77" s="7"/>
      <c r="N77" s="10"/>
      <c r="O77" s="11"/>
    </row>
    <row r="78" spans="1:15" ht="15" customHeight="1" x14ac:dyDescent="0.25">
      <c r="A78" s="58"/>
      <c r="B78" s="59" t="s">
        <v>83</v>
      </c>
      <c r="C78" s="60" t="s">
        <v>84</v>
      </c>
      <c r="D78" s="61" t="s">
        <v>124</v>
      </c>
      <c r="E78" s="61">
        <v>42395</v>
      </c>
      <c r="F78" s="6">
        <v>24930.77</v>
      </c>
      <c r="G78" s="6">
        <v>3975</v>
      </c>
      <c r="H78" s="6">
        <v>24930.77</v>
      </c>
      <c r="I78" s="6">
        <v>3739.62</v>
      </c>
      <c r="J78" s="6"/>
      <c r="K78" s="6">
        <f>G78-I78</f>
        <v>235.38000000000011</v>
      </c>
      <c r="L78" s="7"/>
      <c r="M78" s="7"/>
      <c r="N78" s="10"/>
      <c r="O78" s="11"/>
    </row>
    <row r="79" spans="1:15" ht="15" customHeight="1" x14ac:dyDescent="0.25">
      <c r="A79" s="58"/>
      <c r="B79" s="59" t="s">
        <v>62</v>
      </c>
      <c r="C79" s="60" t="s">
        <v>63</v>
      </c>
      <c r="D79" s="61" t="s">
        <v>124</v>
      </c>
      <c r="E79" s="61">
        <v>42396</v>
      </c>
      <c r="F79" s="6">
        <v>40090.25</v>
      </c>
      <c r="G79" s="6">
        <v>4225.84</v>
      </c>
      <c r="H79" s="6">
        <v>40090.25</v>
      </c>
      <c r="I79" s="6">
        <v>4225.84</v>
      </c>
      <c r="J79" s="6"/>
      <c r="K79" s="6">
        <f>G79-I79</f>
        <v>0</v>
      </c>
      <c r="L79" s="7"/>
      <c r="M79" s="7"/>
      <c r="N79" s="10"/>
      <c r="O79" s="11"/>
    </row>
    <row r="80" spans="1:15" ht="15" customHeight="1" x14ac:dyDescent="0.25">
      <c r="A80" s="58"/>
      <c r="B80" s="59" t="s">
        <v>102</v>
      </c>
      <c r="C80" s="60" t="s">
        <v>103</v>
      </c>
      <c r="D80" s="61" t="s">
        <v>126</v>
      </c>
      <c r="E80" s="61">
        <v>42391</v>
      </c>
      <c r="F80" s="6">
        <v>46161.04</v>
      </c>
      <c r="G80" s="6">
        <v>10646.24</v>
      </c>
      <c r="H80" s="6">
        <v>46161.04</v>
      </c>
      <c r="I80" s="6">
        <f>6924.16+3722.08</f>
        <v>10646.24</v>
      </c>
      <c r="J80" s="6"/>
      <c r="K80" s="62">
        <v>0</v>
      </c>
      <c r="L80" s="7"/>
      <c r="M80" s="7"/>
      <c r="N80" s="10"/>
      <c r="O80" s="11"/>
    </row>
    <row r="81" spans="1:15" ht="15" customHeight="1" x14ac:dyDescent="0.25">
      <c r="A81" s="58"/>
      <c r="B81" s="59" t="s">
        <v>36</v>
      </c>
      <c r="C81" s="60" t="s">
        <v>37</v>
      </c>
      <c r="D81" s="61" t="s">
        <v>124</v>
      </c>
      <c r="E81" s="61">
        <v>42396</v>
      </c>
      <c r="F81" s="6">
        <v>301.93</v>
      </c>
      <c r="G81" s="6">
        <v>45.29</v>
      </c>
      <c r="H81" s="6">
        <v>301.93</v>
      </c>
      <c r="I81" s="6">
        <v>45.29</v>
      </c>
      <c r="J81" s="6"/>
      <c r="K81" s="6"/>
      <c r="L81" s="7"/>
      <c r="M81" s="7"/>
      <c r="N81" s="10"/>
      <c r="O81" s="11"/>
    </row>
    <row r="82" spans="1:15" ht="15" customHeight="1" x14ac:dyDescent="0.25">
      <c r="A82" s="58"/>
      <c r="B82" s="59" t="s">
        <v>127</v>
      </c>
      <c r="C82" s="60" t="s">
        <v>51</v>
      </c>
      <c r="D82" s="61" t="s">
        <v>126</v>
      </c>
      <c r="E82" s="61">
        <v>42396</v>
      </c>
      <c r="F82" s="6">
        <v>29470.23</v>
      </c>
      <c r="G82" s="6">
        <v>4420.25</v>
      </c>
      <c r="H82" s="6">
        <v>29470.23</v>
      </c>
      <c r="I82" s="6">
        <v>4420.25</v>
      </c>
      <c r="J82" s="6"/>
      <c r="K82" s="6"/>
      <c r="L82" s="7"/>
      <c r="M82" s="7"/>
      <c r="N82" s="10"/>
      <c r="O82" s="11"/>
    </row>
    <row r="83" spans="1:15" ht="15" customHeight="1" x14ac:dyDescent="0.25">
      <c r="A83" s="58"/>
      <c r="B83" s="59" t="s">
        <v>25</v>
      </c>
      <c r="C83" s="60" t="s">
        <v>26</v>
      </c>
      <c r="D83" s="61" t="s">
        <v>124</v>
      </c>
      <c r="E83" s="61">
        <v>42396</v>
      </c>
      <c r="F83" s="6">
        <v>13379.8</v>
      </c>
      <c r="G83" s="6">
        <v>2751.97</v>
      </c>
      <c r="H83" s="6">
        <v>13379.8</v>
      </c>
      <c r="I83" s="6">
        <f>2006.97+617.36</f>
        <v>2624.33</v>
      </c>
      <c r="J83" s="6"/>
      <c r="K83" s="6">
        <f t="shared" ref="K83:K101" si="3">G83-I83</f>
        <v>127.63999999999987</v>
      </c>
      <c r="L83" s="7"/>
      <c r="M83" s="7"/>
      <c r="N83" s="10"/>
      <c r="O83" s="11"/>
    </row>
    <row r="84" spans="1:15" ht="15" customHeight="1" x14ac:dyDescent="0.25">
      <c r="A84" s="58"/>
      <c r="B84" s="59" t="s">
        <v>25</v>
      </c>
      <c r="C84" s="60" t="s">
        <v>27</v>
      </c>
      <c r="D84" s="61" t="s">
        <v>124</v>
      </c>
      <c r="E84" s="61">
        <v>42396</v>
      </c>
      <c r="F84" s="6">
        <v>33534.03</v>
      </c>
      <c r="G84" s="6">
        <v>5687.09</v>
      </c>
      <c r="H84" s="6">
        <v>33534.03</v>
      </c>
      <c r="I84" s="63">
        <f>5030.1+656.99</f>
        <v>5687.09</v>
      </c>
      <c r="J84" s="6"/>
      <c r="K84" s="6">
        <f t="shared" si="3"/>
        <v>0</v>
      </c>
      <c r="L84" s="7"/>
      <c r="M84" s="7"/>
      <c r="N84" s="10"/>
      <c r="O84" s="11"/>
    </row>
    <row r="85" spans="1:15" ht="15" customHeight="1" x14ac:dyDescent="0.25">
      <c r="A85" s="58"/>
      <c r="B85" s="59" t="s">
        <v>25</v>
      </c>
      <c r="C85" s="60" t="s">
        <v>56</v>
      </c>
      <c r="D85" s="61" t="s">
        <v>124</v>
      </c>
      <c r="E85" s="61">
        <v>42396</v>
      </c>
      <c r="F85" s="6">
        <v>67955.73</v>
      </c>
      <c r="G85" s="6">
        <v>10703</v>
      </c>
      <c r="H85" s="6">
        <v>67955.73</v>
      </c>
      <c r="I85" s="6">
        <f>10193.36+310.15</f>
        <v>10503.51</v>
      </c>
      <c r="J85" s="6"/>
      <c r="K85" s="6">
        <f t="shared" si="3"/>
        <v>199.48999999999978</v>
      </c>
      <c r="L85" s="7"/>
      <c r="M85" s="7"/>
      <c r="N85" s="10"/>
      <c r="O85" s="11"/>
    </row>
    <row r="86" spans="1:15" ht="15" customHeight="1" x14ac:dyDescent="0.25">
      <c r="A86" s="58"/>
      <c r="B86" s="59" t="s">
        <v>25</v>
      </c>
      <c r="C86" s="60" t="s">
        <v>60</v>
      </c>
      <c r="D86" s="61" t="s">
        <v>124</v>
      </c>
      <c r="E86" s="61">
        <v>42396</v>
      </c>
      <c r="F86" s="6">
        <v>46782.69</v>
      </c>
      <c r="G86" s="6">
        <v>7612.21</v>
      </c>
      <c r="H86" s="6">
        <v>46782.69</v>
      </c>
      <c r="I86" s="6">
        <f>7017.4+37.74+552.27</f>
        <v>7607.41</v>
      </c>
      <c r="J86" s="6"/>
      <c r="K86" s="6">
        <f t="shared" si="3"/>
        <v>4.8000000000001819</v>
      </c>
      <c r="L86" s="7"/>
      <c r="M86" s="7"/>
      <c r="N86" s="10"/>
      <c r="O86" s="11"/>
    </row>
    <row r="87" spans="1:15" ht="15" customHeight="1" x14ac:dyDescent="0.25">
      <c r="A87" s="58"/>
      <c r="B87" s="59" t="s">
        <v>25</v>
      </c>
      <c r="C87" s="60" t="s">
        <v>49</v>
      </c>
      <c r="D87" s="61" t="s">
        <v>124</v>
      </c>
      <c r="E87" s="61">
        <v>42396</v>
      </c>
      <c r="F87" s="6">
        <v>20436.46</v>
      </c>
      <c r="G87" s="6">
        <v>3779.28</v>
      </c>
      <c r="H87" s="6">
        <v>20436.46</v>
      </c>
      <c r="I87" s="6">
        <f>3065.47+529.71</f>
        <v>3595.18</v>
      </c>
      <c r="J87" s="6"/>
      <c r="K87" s="6">
        <f t="shared" si="3"/>
        <v>184.10000000000036</v>
      </c>
      <c r="L87" s="7"/>
      <c r="M87" s="7"/>
      <c r="N87" s="10"/>
      <c r="O87" s="11"/>
    </row>
    <row r="88" spans="1:15" ht="15" customHeight="1" x14ac:dyDescent="0.25">
      <c r="A88" s="58"/>
      <c r="B88" s="59" t="s">
        <v>25</v>
      </c>
      <c r="C88" s="60" t="s">
        <v>64</v>
      </c>
      <c r="D88" s="61" t="s">
        <v>124</v>
      </c>
      <c r="E88" s="61">
        <v>42396</v>
      </c>
      <c r="F88" s="6">
        <v>16662.11</v>
      </c>
      <c r="G88" s="6">
        <v>3226.79</v>
      </c>
      <c r="H88" s="6">
        <v>16662.11</v>
      </c>
      <c r="I88" s="6">
        <f>2499.32+238.66</f>
        <v>2737.98</v>
      </c>
      <c r="J88" s="6"/>
      <c r="K88" s="6">
        <f t="shared" si="3"/>
        <v>488.80999999999995</v>
      </c>
      <c r="L88" s="7"/>
      <c r="M88" s="7"/>
      <c r="N88" s="10"/>
      <c r="O88" s="11"/>
    </row>
    <row r="89" spans="1:15" ht="15" customHeight="1" x14ac:dyDescent="0.25">
      <c r="A89" s="58"/>
      <c r="B89" s="59" t="s">
        <v>25</v>
      </c>
      <c r="C89" s="60" t="s">
        <v>57</v>
      </c>
      <c r="D89" s="61" t="s">
        <v>124</v>
      </c>
      <c r="E89" s="61">
        <v>42396</v>
      </c>
      <c r="F89" s="6">
        <v>33478.71</v>
      </c>
      <c r="G89" s="6">
        <v>5678.47</v>
      </c>
      <c r="H89" s="6">
        <v>33478.71</v>
      </c>
      <c r="I89" s="6">
        <f>5021.81+518.09+128.85</f>
        <v>5668.7500000000009</v>
      </c>
      <c r="J89" s="6"/>
      <c r="K89" s="6">
        <f t="shared" si="3"/>
        <v>9.7199999999993452</v>
      </c>
      <c r="L89" s="7"/>
      <c r="M89" s="7"/>
      <c r="N89" s="10"/>
      <c r="O89" s="11"/>
    </row>
    <row r="90" spans="1:15" ht="15" customHeight="1" x14ac:dyDescent="0.25">
      <c r="A90" s="58"/>
      <c r="B90" s="59" t="s">
        <v>25</v>
      </c>
      <c r="C90" s="60" t="s">
        <v>61</v>
      </c>
      <c r="D90" s="61" t="s">
        <v>124</v>
      </c>
      <c r="E90" s="61">
        <v>42396</v>
      </c>
      <c r="F90" s="6">
        <v>61777.37</v>
      </c>
      <c r="G90" s="6">
        <v>9796.25</v>
      </c>
      <c r="H90" s="6">
        <v>61777.37</v>
      </c>
      <c r="I90" s="63">
        <f>9266.61+522.34</f>
        <v>9788.9500000000007</v>
      </c>
      <c r="J90" s="6"/>
      <c r="K90" s="6">
        <f t="shared" si="3"/>
        <v>7.2999999999992724</v>
      </c>
      <c r="L90" s="7"/>
      <c r="M90" s="7"/>
      <c r="N90" s="10"/>
      <c r="O90" s="11"/>
    </row>
    <row r="91" spans="1:15" ht="15" customHeight="1" x14ac:dyDescent="0.25">
      <c r="A91" s="58"/>
      <c r="B91" s="59" t="s">
        <v>25</v>
      </c>
      <c r="C91" s="60" t="s">
        <v>65</v>
      </c>
      <c r="D91" s="61" t="s">
        <v>124</v>
      </c>
      <c r="E91" s="61">
        <v>42396</v>
      </c>
      <c r="F91" s="6">
        <v>3697.78</v>
      </c>
      <c r="G91" s="6">
        <v>1336.23</v>
      </c>
      <c r="H91" s="6">
        <v>3697.78</v>
      </c>
      <c r="I91" s="6">
        <f>554.67+6.42</f>
        <v>561.08999999999992</v>
      </c>
      <c r="J91" s="6"/>
      <c r="K91" s="6">
        <f t="shared" si="3"/>
        <v>775.1400000000001</v>
      </c>
      <c r="L91" s="7"/>
      <c r="M91" s="7"/>
      <c r="N91" s="10"/>
      <c r="O91" s="11"/>
    </row>
    <row r="92" spans="1:15" ht="15" customHeight="1" x14ac:dyDescent="0.25">
      <c r="A92" s="58"/>
      <c r="B92" s="59" t="s">
        <v>25</v>
      </c>
      <c r="C92" s="60" t="s">
        <v>76</v>
      </c>
      <c r="D92" s="61" t="s">
        <v>124</v>
      </c>
      <c r="E92" s="61">
        <v>42396</v>
      </c>
      <c r="F92" s="6">
        <v>12143.17</v>
      </c>
      <c r="G92" s="6">
        <v>2570.71</v>
      </c>
      <c r="H92" s="6">
        <v>12143.17</v>
      </c>
      <c r="I92" s="6">
        <v>1821.48</v>
      </c>
      <c r="J92" s="6"/>
      <c r="K92" s="6">
        <f t="shared" si="3"/>
        <v>749.23</v>
      </c>
      <c r="L92" s="7"/>
      <c r="M92" s="7"/>
      <c r="N92" s="10"/>
      <c r="O92" s="11"/>
    </row>
    <row r="93" spans="1:15" ht="15" customHeight="1" x14ac:dyDescent="0.25">
      <c r="A93" s="58"/>
      <c r="B93" s="59" t="s">
        <v>25</v>
      </c>
      <c r="C93" s="60" t="s">
        <v>77</v>
      </c>
      <c r="D93" s="61" t="s">
        <v>124</v>
      </c>
      <c r="E93" s="61">
        <v>42396</v>
      </c>
      <c r="F93" s="6">
        <v>59723.1</v>
      </c>
      <c r="G93" s="6">
        <v>9494.11</v>
      </c>
      <c r="H93" s="6">
        <v>59723.1</v>
      </c>
      <c r="I93" s="6">
        <v>8958.4699999999993</v>
      </c>
      <c r="J93" s="6"/>
      <c r="K93" s="6">
        <f t="shared" si="3"/>
        <v>535.64000000000124</v>
      </c>
      <c r="L93" s="7"/>
      <c r="M93" s="7"/>
      <c r="N93" s="10"/>
      <c r="O93" s="11"/>
    </row>
    <row r="94" spans="1:15" ht="15" customHeight="1" x14ac:dyDescent="0.25">
      <c r="A94" s="58"/>
      <c r="B94" s="59" t="s">
        <v>25</v>
      </c>
      <c r="C94" s="60" t="s">
        <v>88</v>
      </c>
      <c r="D94" s="61" t="s">
        <v>124</v>
      </c>
      <c r="E94" s="61">
        <v>42396</v>
      </c>
      <c r="F94" s="6">
        <v>24392.75</v>
      </c>
      <c r="G94" s="6">
        <v>4349.04</v>
      </c>
      <c r="H94" s="6">
        <v>24392.75</v>
      </c>
      <c r="I94" s="6">
        <v>3658.91</v>
      </c>
      <c r="J94" s="6"/>
      <c r="K94" s="6">
        <f t="shared" si="3"/>
        <v>690.13000000000011</v>
      </c>
      <c r="L94" s="7"/>
      <c r="M94" s="7"/>
      <c r="N94" s="10"/>
      <c r="O94" s="11"/>
    </row>
    <row r="95" spans="1:15" ht="15" customHeight="1" x14ac:dyDescent="0.25">
      <c r="A95" s="58"/>
      <c r="B95" s="59" t="s">
        <v>25</v>
      </c>
      <c r="C95" s="60" t="s">
        <v>89</v>
      </c>
      <c r="D95" s="61" t="s">
        <v>124</v>
      </c>
      <c r="E95" s="61">
        <v>42396</v>
      </c>
      <c r="F95" s="6">
        <v>37924.81</v>
      </c>
      <c r="G95" s="6">
        <v>6325.91</v>
      </c>
      <c r="H95" s="6">
        <v>37924.81</v>
      </c>
      <c r="I95" s="6">
        <f>5688.72+591.22</f>
        <v>6279.9400000000005</v>
      </c>
      <c r="J95" s="6"/>
      <c r="K95" s="6">
        <f t="shared" si="3"/>
        <v>45.969999999999345</v>
      </c>
      <c r="L95" s="7"/>
      <c r="M95" s="7"/>
      <c r="N95" s="10"/>
      <c r="O95" s="11"/>
    </row>
    <row r="96" spans="1:15" ht="15" customHeight="1" x14ac:dyDescent="0.25">
      <c r="A96" s="58"/>
      <c r="B96" s="59" t="s">
        <v>25</v>
      </c>
      <c r="C96" s="60" t="s">
        <v>94</v>
      </c>
      <c r="D96" s="61" t="s">
        <v>124</v>
      </c>
      <c r="E96" s="61">
        <v>42396</v>
      </c>
      <c r="F96" s="6">
        <v>90376.5</v>
      </c>
      <c r="G96" s="6">
        <v>15915.85</v>
      </c>
      <c r="H96" s="6">
        <v>90376.5</v>
      </c>
      <c r="I96" s="6">
        <f>13556.48+2173.46+182.14</f>
        <v>15912.079999999998</v>
      </c>
      <c r="J96" s="6"/>
      <c r="K96" s="6">
        <f t="shared" si="3"/>
        <v>3.7700000000022555</v>
      </c>
      <c r="L96" s="7"/>
      <c r="M96" s="7"/>
      <c r="N96" s="10"/>
      <c r="O96" s="11"/>
    </row>
    <row r="97" spans="1:15" ht="15" customHeight="1" x14ac:dyDescent="0.25">
      <c r="A97" s="58"/>
      <c r="B97" s="59" t="s">
        <v>25</v>
      </c>
      <c r="C97" s="60" t="s">
        <v>95</v>
      </c>
      <c r="D97" s="61" t="s">
        <v>124</v>
      </c>
      <c r="E97" s="61">
        <v>42396</v>
      </c>
      <c r="F97" s="6">
        <v>27678.3</v>
      </c>
      <c r="G97" s="6">
        <v>4832.43</v>
      </c>
      <c r="H97" s="6">
        <v>27678.3</v>
      </c>
      <c r="I97" s="6">
        <f>4151.75+211.24</f>
        <v>4362.99</v>
      </c>
      <c r="J97" s="6"/>
      <c r="K97" s="6">
        <f t="shared" si="3"/>
        <v>469.44000000000051</v>
      </c>
      <c r="L97" s="7"/>
      <c r="M97" s="7"/>
      <c r="N97" s="10"/>
      <c r="O97" s="11"/>
    </row>
    <row r="98" spans="1:15" ht="15" customHeight="1" x14ac:dyDescent="0.25">
      <c r="A98" s="58"/>
      <c r="B98" s="59" t="s">
        <v>25</v>
      </c>
      <c r="C98" s="60" t="s">
        <v>98</v>
      </c>
      <c r="D98" s="61" t="s">
        <v>124</v>
      </c>
      <c r="E98" s="61">
        <v>42396</v>
      </c>
      <c r="F98" s="6">
        <v>7412.02</v>
      </c>
      <c r="G98" s="6">
        <v>1880.08</v>
      </c>
      <c r="H98" s="6">
        <v>7412.02</v>
      </c>
      <c r="I98" s="6">
        <v>1111.8</v>
      </c>
      <c r="J98" s="6"/>
      <c r="K98" s="6">
        <f t="shared" si="3"/>
        <v>768.28</v>
      </c>
      <c r="L98" s="7"/>
      <c r="M98" s="7"/>
      <c r="N98" s="10"/>
      <c r="O98" s="11"/>
    </row>
    <row r="99" spans="1:15" ht="15" customHeight="1" x14ac:dyDescent="0.25">
      <c r="A99" s="58"/>
      <c r="B99" s="59" t="s">
        <v>25</v>
      </c>
      <c r="C99" s="60" t="s">
        <v>99</v>
      </c>
      <c r="D99" s="61" t="s">
        <v>124</v>
      </c>
      <c r="E99" s="61">
        <v>42396</v>
      </c>
      <c r="F99" s="6">
        <v>5120.09</v>
      </c>
      <c r="G99" s="6">
        <v>1543.42</v>
      </c>
      <c r="H99" s="6">
        <v>5120.09</v>
      </c>
      <c r="I99" s="6">
        <v>768.01</v>
      </c>
      <c r="J99" s="6"/>
      <c r="K99" s="6">
        <f t="shared" si="3"/>
        <v>775.41000000000008</v>
      </c>
      <c r="L99" s="7"/>
      <c r="M99" s="7"/>
      <c r="N99" s="10"/>
      <c r="O99" s="11"/>
    </row>
    <row r="100" spans="1:15" ht="15" customHeight="1" x14ac:dyDescent="0.25">
      <c r="A100" s="58"/>
      <c r="B100" s="59" t="s">
        <v>25</v>
      </c>
      <c r="C100" s="60" t="s">
        <v>104</v>
      </c>
      <c r="D100" s="61" t="s">
        <v>124</v>
      </c>
      <c r="E100" s="61">
        <v>42396</v>
      </c>
      <c r="F100" s="6">
        <v>14606.54</v>
      </c>
      <c r="G100" s="6">
        <v>2924.63</v>
      </c>
      <c r="H100" s="6">
        <v>14606.54</v>
      </c>
      <c r="I100" s="6">
        <f>2190.98+678.2</f>
        <v>2869.1800000000003</v>
      </c>
      <c r="J100" s="6"/>
      <c r="K100" s="6">
        <f t="shared" si="3"/>
        <v>55.449999999999818</v>
      </c>
      <c r="L100" s="7"/>
      <c r="M100" s="7"/>
      <c r="N100" s="10"/>
      <c r="O100" s="11"/>
    </row>
    <row r="101" spans="1:15" ht="15" customHeight="1" x14ac:dyDescent="0.25">
      <c r="A101" s="58"/>
      <c r="B101" s="59" t="s">
        <v>25</v>
      </c>
      <c r="C101" s="60" t="s">
        <v>87</v>
      </c>
      <c r="D101" s="61" t="s">
        <v>124</v>
      </c>
      <c r="E101" s="61">
        <v>42396</v>
      </c>
      <c r="F101" s="6">
        <v>15729.33</v>
      </c>
      <c r="G101" s="6">
        <v>3088.69</v>
      </c>
      <c r="H101" s="6">
        <v>15729.33</v>
      </c>
      <c r="I101" s="6">
        <v>2359.4</v>
      </c>
      <c r="J101" s="6"/>
      <c r="K101" s="6">
        <f t="shared" si="3"/>
        <v>729.29</v>
      </c>
      <c r="L101" s="7"/>
      <c r="M101" s="7"/>
      <c r="N101" s="10"/>
      <c r="O101" s="11"/>
    </row>
    <row r="102" spans="1:15" ht="15" customHeight="1" x14ac:dyDescent="0.25">
      <c r="A102" s="58"/>
      <c r="B102" s="59" t="s">
        <v>81</v>
      </c>
      <c r="C102" s="60" t="s">
        <v>82</v>
      </c>
      <c r="D102" s="61" t="s">
        <v>124</v>
      </c>
      <c r="E102" s="61">
        <v>42396</v>
      </c>
      <c r="F102" s="6">
        <v>19411.310000000001</v>
      </c>
      <c r="G102" s="6">
        <v>2780.89</v>
      </c>
      <c r="H102" s="6">
        <v>19411.310000000001</v>
      </c>
      <c r="I102" s="6">
        <v>2780.89</v>
      </c>
      <c r="J102" s="6"/>
      <c r="K102" s="6"/>
      <c r="L102" s="7"/>
      <c r="M102" s="7"/>
      <c r="N102" s="10"/>
      <c r="O102" s="11"/>
    </row>
    <row r="103" spans="1:15" ht="15" customHeight="1" x14ac:dyDescent="0.25">
      <c r="A103" s="58"/>
      <c r="B103" s="59" t="s">
        <v>68</v>
      </c>
      <c r="C103" s="60" t="s">
        <v>69</v>
      </c>
      <c r="D103" s="61" t="s">
        <v>124</v>
      </c>
      <c r="E103" s="61">
        <v>42397</v>
      </c>
      <c r="F103" s="6">
        <v>5528.41</v>
      </c>
      <c r="G103" s="6">
        <v>569.5</v>
      </c>
      <c r="H103" s="6">
        <v>5528.41</v>
      </c>
      <c r="I103" s="6">
        <v>569.5</v>
      </c>
      <c r="J103" s="6"/>
      <c r="K103" s="6">
        <f>G103-I103</f>
        <v>0</v>
      </c>
      <c r="L103" s="7"/>
      <c r="M103" s="7"/>
      <c r="N103" s="10"/>
      <c r="O103" s="11"/>
    </row>
    <row r="104" spans="1:15" ht="15" customHeight="1" x14ac:dyDescent="0.25">
      <c r="A104" s="58"/>
      <c r="B104" s="59" t="s">
        <v>58</v>
      </c>
      <c r="C104" s="60" t="s">
        <v>59</v>
      </c>
      <c r="D104" s="61" t="s">
        <v>125</v>
      </c>
      <c r="E104" s="61">
        <v>42397</v>
      </c>
      <c r="F104" s="6">
        <v>7507.92</v>
      </c>
      <c r="G104" s="6">
        <v>3032.93</v>
      </c>
      <c r="H104" s="6">
        <v>7507.92</v>
      </c>
      <c r="I104" s="6">
        <v>1126.19</v>
      </c>
      <c r="J104" s="6"/>
      <c r="K104" s="6">
        <f>G104-I104</f>
        <v>1906.7399999999998</v>
      </c>
      <c r="L104" s="7"/>
      <c r="M104" s="7"/>
      <c r="N104" s="10"/>
      <c r="O104" s="11"/>
    </row>
    <row r="105" spans="1:15" ht="15.75" customHeight="1" x14ac:dyDescent="0.25">
      <c r="A105" s="58"/>
      <c r="B105" s="59" t="s">
        <v>66</v>
      </c>
      <c r="C105" s="60" t="s">
        <v>67</v>
      </c>
      <c r="D105" s="61" t="s">
        <v>125</v>
      </c>
      <c r="E105" s="61">
        <v>42397</v>
      </c>
      <c r="F105" s="6">
        <v>4923.75</v>
      </c>
      <c r="G105" s="6">
        <v>10748.56</v>
      </c>
      <c r="H105" s="6">
        <v>4923.75</v>
      </c>
      <c r="I105" s="6">
        <f>738.56+1389.51+497.1+335.45+3131.43</f>
        <v>6092.0499999999993</v>
      </c>
      <c r="J105" s="6"/>
      <c r="K105" s="6">
        <f>G105-I105</f>
        <v>4656.51</v>
      </c>
      <c r="L105" s="7"/>
      <c r="M105" s="7"/>
      <c r="N105" s="10"/>
      <c r="O105" s="11"/>
    </row>
    <row r="106" spans="1:15" ht="15" customHeight="1" x14ac:dyDescent="0.25">
      <c r="A106" s="58"/>
      <c r="B106" s="59" t="s">
        <v>96</v>
      </c>
      <c r="C106" s="60" t="s">
        <v>97</v>
      </c>
      <c r="D106" s="61" t="s">
        <v>124</v>
      </c>
      <c r="E106" s="61">
        <v>42398</v>
      </c>
      <c r="F106" s="6">
        <v>33399.949999999997</v>
      </c>
      <c r="G106" s="6"/>
      <c r="H106" s="6">
        <v>33399.949999999997</v>
      </c>
      <c r="I106" s="6"/>
      <c r="J106" s="6"/>
      <c r="K106" s="6"/>
      <c r="L106" s="7"/>
      <c r="M106" s="7"/>
      <c r="N106" s="10"/>
      <c r="O106" s="11"/>
    </row>
    <row r="107" spans="1:15" ht="15" customHeight="1" x14ac:dyDescent="0.25">
      <c r="A107" s="58"/>
      <c r="B107" s="59" t="s">
        <v>90</v>
      </c>
      <c r="C107" s="60" t="s">
        <v>91</v>
      </c>
      <c r="D107" s="61" t="s">
        <v>126</v>
      </c>
      <c r="E107" s="61">
        <v>42398</v>
      </c>
      <c r="F107" s="6">
        <v>6830.14</v>
      </c>
      <c r="G107" s="6">
        <v>2043.63</v>
      </c>
      <c r="H107" s="6">
        <v>6830.14</v>
      </c>
      <c r="I107" s="6">
        <f>1024.52+1019.11</f>
        <v>2043.63</v>
      </c>
      <c r="J107" s="6"/>
      <c r="K107" s="6">
        <f>G107-I107</f>
        <v>0</v>
      </c>
      <c r="L107" s="7"/>
      <c r="M107" s="7"/>
      <c r="N107" s="10"/>
      <c r="O107" s="11"/>
    </row>
    <row r="108" spans="1:15" ht="15" customHeight="1" x14ac:dyDescent="0.25">
      <c r="A108" s="58"/>
      <c r="B108" s="59" t="s">
        <v>23</v>
      </c>
      <c r="C108" s="60" t="s">
        <v>24</v>
      </c>
      <c r="D108" s="61" t="s">
        <v>124</v>
      </c>
      <c r="E108" s="61">
        <v>42436</v>
      </c>
      <c r="F108" s="6">
        <v>41195.83</v>
      </c>
      <c r="G108" s="6">
        <v>2429.73</v>
      </c>
      <c r="H108" s="6">
        <v>41195.83</v>
      </c>
      <c r="I108" s="6">
        <v>2429.73</v>
      </c>
      <c r="J108" s="6"/>
      <c r="K108" s="6"/>
      <c r="L108" s="7"/>
      <c r="M108" s="7"/>
      <c r="N108" s="10"/>
      <c r="O108" s="11"/>
    </row>
    <row r="109" spans="1:15" ht="15" customHeight="1" x14ac:dyDescent="0.25">
      <c r="A109" s="58"/>
      <c r="B109" s="59" t="s">
        <v>92</v>
      </c>
      <c r="C109" s="60" t="s">
        <v>93</v>
      </c>
      <c r="D109" s="61" t="s">
        <v>124</v>
      </c>
      <c r="E109" s="61">
        <v>42398</v>
      </c>
      <c r="F109" s="6">
        <v>5403.92</v>
      </c>
      <c r="G109" s="6">
        <v>7334.71</v>
      </c>
      <c r="H109" s="6">
        <v>5403.92</v>
      </c>
      <c r="I109" s="6">
        <v>810.59</v>
      </c>
      <c r="J109" s="6"/>
      <c r="K109" s="6">
        <f>G109-I109</f>
        <v>6524.12</v>
      </c>
      <c r="L109" s="7"/>
      <c r="M109" s="7"/>
      <c r="N109" s="10"/>
      <c r="O109" s="11"/>
    </row>
    <row r="110" spans="1:15" ht="15" customHeight="1" x14ac:dyDescent="0.25">
      <c r="A110" s="58"/>
      <c r="B110" s="59" t="s">
        <v>38</v>
      </c>
      <c r="C110" s="60" t="s">
        <v>39</v>
      </c>
      <c r="D110" s="61" t="s">
        <v>124</v>
      </c>
      <c r="E110" s="61">
        <v>42398</v>
      </c>
      <c r="F110" s="6">
        <v>20116.330000000002</v>
      </c>
      <c r="G110" s="6">
        <v>8385.2800000000007</v>
      </c>
      <c r="H110" s="6">
        <f>F110</f>
        <v>20116.330000000002</v>
      </c>
      <c r="I110" s="6">
        <v>3017.45</v>
      </c>
      <c r="J110" s="6"/>
      <c r="K110" s="6">
        <f>G110-I110</f>
        <v>5367.8300000000008</v>
      </c>
      <c r="L110" s="7"/>
      <c r="M110" s="7"/>
      <c r="N110" s="10"/>
      <c r="O110" s="11"/>
    </row>
    <row r="111" spans="1:15" ht="15" customHeight="1" x14ac:dyDescent="0.25">
      <c r="A111" s="58"/>
      <c r="B111" s="59" t="s">
        <v>28</v>
      </c>
      <c r="C111" s="60" t="s">
        <v>29</v>
      </c>
      <c r="D111" s="61" t="s">
        <v>124</v>
      </c>
      <c r="E111" s="61">
        <v>42400</v>
      </c>
      <c r="F111" s="6">
        <v>195777</v>
      </c>
      <c r="G111" s="6">
        <v>30036.65</v>
      </c>
      <c r="H111" s="6">
        <v>195777</v>
      </c>
      <c r="I111" s="6">
        <f>29366.55+670.1</f>
        <v>30036.649999999998</v>
      </c>
      <c r="K111" s="6">
        <f>G111-I111</f>
        <v>0</v>
      </c>
      <c r="L111" s="7"/>
      <c r="M111" s="6"/>
      <c r="N111" s="10"/>
      <c r="O111" s="11"/>
    </row>
    <row r="112" spans="1:15" ht="15" customHeight="1" x14ac:dyDescent="0.25">
      <c r="A112" s="58"/>
      <c r="B112" s="59" t="s">
        <v>45</v>
      </c>
      <c r="C112" s="60" t="s">
        <v>46</v>
      </c>
      <c r="D112" s="61" t="s">
        <v>124</v>
      </c>
      <c r="E112" s="61">
        <v>42401</v>
      </c>
      <c r="F112" s="6">
        <v>10142.040000000001</v>
      </c>
      <c r="G112" s="6">
        <v>1521.3</v>
      </c>
      <c r="H112" s="6">
        <v>10142.040000000001</v>
      </c>
      <c r="I112" s="6">
        <v>1521.3</v>
      </c>
      <c r="J112" s="6"/>
      <c r="K112" s="6">
        <f>G112-I112</f>
        <v>0</v>
      </c>
      <c r="L112" s="7"/>
      <c r="M112" s="6"/>
      <c r="N112" s="10"/>
      <c r="O112" s="11"/>
    </row>
    <row r="113" spans="1:15" ht="15" customHeight="1" x14ac:dyDescent="0.25">
      <c r="A113" s="58"/>
      <c r="B113" s="59" t="s">
        <v>52</v>
      </c>
      <c r="C113" s="60" t="s">
        <v>53</v>
      </c>
      <c r="D113" s="61" t="s">
        <v>124</v>
      </c>
      <c r="E113" s="61">
        <v>42403</v>
      </c>
      <c r="F113" s="6">
        <v>19831.919999999998</v>
      </c>
      <c r="G113" s="6">
        <v>2181.4899999999998</v>
      </c>
      <c r="H113" s="6">
        <v>19831.919999999998</v>
      </c>
      <c r="I113" s="6">
        <v>2181.4899999999998</v>
      </c>
      <c r="J113" s="6"/>
      <c r="K113" s="6"/>
      <c r="L113" s="7"/>
      <c r="M113" s="6"/>
      <c r="N113" s="10"/>
      <c r="O113" s="11"/>
    </row>
    <row r="114" spans="1:15" x14ac:dyDescent="0.25">
      <c r="A114" s="58"/>
      <c r="B114" s="59" t="s">
        <v>40</v>
      </c>
      <c r="C114" s="60" t="s">
        <v>41</v>
      </c>
      <c r="D114" s="61" t="s">
        <v>125</v>
      </c>
      <c r="E114" s="61">
        <v>42405</v>
      </c>
      <c r="F114" s="6">
        <v>31696.240000000002</v>
      </c>
      <c r="G114" s="6">
        <v>3631.11</v>
      </c>
      <c r="H114" s="6">
        <v>31696.240000000002</v>
      </c>
      <c r="I114" s="6">
        <v>3631.11</v>
      </c>
      <c r="J114" s="6"/>
      <c r="K114" s="6">
        <f>G114-I114</f>
        <v>0</v>
      </c>
      <c r="L114" s="7"/>
      <c r="M114" s="7"/>
      <c r="N114" s="10"/>
      <c r="O114" s="11"/>
    </row>
    <row r="115" spans="1:15" ht="15.75" customHeight="1" x14ac:dyDescent="0.25">
      <c r="A115" s="58"/>
      <c r="B115" s="59" t="s">
        <v>70</v>
      </c>
      <c r="C115" s="60" t="s">
        <v>71</v>
      </c>
      <c r="D115" s="61" t="s">
        <v>124</v>
      </c>
      <c r="E115" s="61">
        <v>42398</v>
      </c>
      <c r="F115" s="6">
        <v>5430.98</v>
      </c>
      <c r="G115" s="6">
        <v>0</v>
      </c>
      <c r="H115" s="76">
        <v>5430.98</v>
      </c>
      <c r="I115" s="6">
        <v>0</v>
      </c>
      <c r="J115" s="6"/>
      <c r="K115" s="6"/>
      <c r="L115" s="7"/>
      <c r="M115" s="7"/>
      <c r="N115" s="10"/>
      <c r="O115" s="11"/>
    </row>
    <row r="116" spans="1:15" ht="15" customHeight="1" x14ac:dyDescent="0.25">
      <c r="A116" s="58"/>
      <c r="B116" s="59" t="s">
        <v>54</v>
      </c>
      <c r="C116" s="60" t="s">
        <v>55</v>
      </c>
      <c r="D116" s="61" t="s">
        <v>125</v>
      </c>
      <c r="E116" s="61">
        <v>42398</v>
      </c>
      <c r="F116" s="6">
        <v>5128.5200000000004</v>
      </c>
      <c r="G116" s="6">
        <v>974.27</v>
      </c>
      <c r="H116" s="6">
        <v>5128.5200000000004</v>
      </c>
      <c r="I116" s="6">
        <f>769.28+204.99</f>
        <v>974.27</v>
      </c>
      <c r="J116" s="6"/>
      <c r="K116" s="6"/>
      <c r="L116" s="7"/>
      <c r="M116" s="7"/>
      <c r="N116" s="10"/>
      <c r="O116" s="11"/>
    </row>
    <row r="117" spans="1:15" ht="15" customHeight="1" x14ac:dyDescent="0.25">
      <c r="A117" s="58"/>
      <c r="B117" s="59" t="s">
        <v>105</v>
      </c>
      <c r="C117" s="60" t="s">
        <v>106</v>
      </c>
      <c r="D117" s="61" t="s">
        <v>126</v>
      </c>
      <c r="E117" s="61">
        <v>42404</v>
      </c>
      <c r="F117" s="6">
        <f>335.7</f>
        <v>335.7</v>
      </c>
      <c r="G117" s="6">
        <v>2093</v>
      </c>
      <c r="H117" s="6">
        <f>F117</f>
        <v>335.7</v>
      </c>
      <c r="I117" s="6">
        <f>0.15*H117+2042.64</f>
        <v>2092.9949999999999</v>
      </c>
      <c r="J117" s="6"/>
      <c r="K117" s="6">
        <f>2042.65-2042.64</f>
        <v>9.9999999999909051E-3</v>
      </c>
      <c r="L117" s="7"/>
      <c r="M117" s="6"/>
      <c r="N117" s="10"/>
      <c r="O117" s="11"/>
    </row>
    <row r="118" spans="1:15" ht="15" customHeight="1" x14ac:dyDescent="0.25">
      <c r="A118" s="58"/>
      <c r="B118" s="59" t="s">
        <v>66</v>
      </c>
      <c r="C118" s="60" t="s">
        <v>67</v>
      </c>
      <c r="D118" s="61" t="s">
        <v>128</v>
      </c>
      <c r="E118" s="61">
        <v>42408</v>
      </c>
      <c r="F118" s="6">
        <v>2236.35</v>
      </c>
      <c r="G118" s="6">
        <v>0</v>
      </c>
      <c r="H118" s="6">
        <v>2236.35</v>
      </c>
      <c r="I118" s="6">
        <v>0</v>
      </c>
      <c r="J118" s="6"/>
      <c r="K118" s="6">
        <f>G118-I118</f>
        <v>0</v>
      </c>
      <c r="L118" s="7"/>
      <c r="M118" s="7"/>
      <c r="N118" s="10"/>
      <c r="O118" s="11"/>
    </row>
    <row r="119" spans="1:15" ht="15" customHeight="1" x14ac:dyDescent="0.25">
      <c r="A119" s="58"/>
      <c r="B119" s="59" t="s">
        <v>74</v>
      </c>
      <c r="C119" s="60" t="s">
        <v>75</v>
      </c>
      <c r="D119" s="61" t="s">
        <v>129</v>
      </c>
      <c r="E119" s="61">
        <v>42423</v>
      </c>
      <c r="F119" s="6">
        <v>81595.22</v>
      </c>
      <c r="G119" s="6">
        <v>12190.63</v>
      </c>
      <c r="H119" s="6">
        <f>F119</f>
        <v>81595.22</v>
      </c>
      <c r="I119" s="6">
        <f>G119</f>
        <v>12190.63</v>
      </c>
      <c r="J119" s="6"/>
      <c r="K119" s="6"/>
      <c r="L119" s="7"/>
      <c r="M119" s="6"/>
      <c r="N119" s="10"/>
      <c r="O119" s="11"/>
    </row>
    <row r="120" spans="1:15" ht="15" customHeight="1" x14ac:dyDescent="0.25">
      <c r="A120" s="58"/>
      <c r="B120" s="59" t="s">
        <v>79</v>
      </c>
      <c r="C120" s="60" t="s">
        <v>80</v>
      </c>
      <c r="D120" s="61" t="s">
        <v>128</v>
      </c>
      <c r="E120" s="61">
        <v>42410</v>
      </c>
      <c r="F120" s="6">
        <v>17557.43</v>
      </c>
      <c r="G120" s="6">
        <v>20317.5</v>
      </c>
      <c r="H120" s="6">
        <f>F120</f>
        <v>17557.43</v>
      </c>
      <c r="I120" s="6">
        <v>2633.61</v>
      </c>
      <c r="J120" s="6"/>
      <c r="K120" s="6">
        <f>G120-I120</f>
        <v>17683.89</v>
      </c>
      <c r="L120" s="7"/>
      <c r="M120" s="6"/>
      <c r="N120" s="10"/>
      <c r="O120" s="11"/>
    </row>
    <row r="121" spans="1:15" x14ac:dyDescent="0.25">
      <c r="A121" s="58"/>
      <c r="B121" s="59" t="s">
        <v>40</v>
      </c>
      <c r="C121" s="60" t="s">
        <v>41</v>
      </c>
      <c r="D121" s="61" t="s">
        <v>128</v>
      </c>
      <c r="E121" s="61">
        <v>42426</v>
      </c>
      <c r="F121" s="6">
        <v>8276.68</v>
      </c>
      <c r="G121" s="6">
        <v>3042.81</v>
      </c>
      <c r="H121" s="6">
        <v>8276.68</v>
      </c>
      <c r="I121" s="6">
        <f>1241.5+1801.31</f>
        <v>3042.81</v>
      </c>
      <c r="J121" s="6"/>
      <c r="K121" s="6">
        <f>G121-I121</f>
        <v>0</v>
      </c>
      <c r="L121" s="7"/>
      <c r="M121" s="7"/>
      <c r="N121" s="10"/>
      <c r="O121" s="11"/>
    </row>
    <row r="122" spans="1:15" ht="15" customHeight="1" x14ac:dyDescent="0.25">
      <c r="A122" s="58"/>
      <c r="B122" s="59" t="s">
        <v>21</v>
      </c>
      <c r="C122" s="60" t="s">
        <v>22</v>
      </c>
      <c r="D122" s="61" t="s">
        <v>128</v>
      </c>
      <c r="E122" s="61">
        <v>42430</v>
      </c>
      <c r="F122" s="6">
        <v>719.99</v>
      </c>
      <c r="G122" s="6">
        <v>453.45</v>
      </c>
      <c r="H122" s="6">
        <v>719.99</v>
      </c>
      <c r="I122" s="6">
        <v>108</v>
      </c>
      <c r="J122" s="6"/>
      <c r="K122" s="63">
        <v>345.45</v>
      </c>
      <c r="L122" s="7"/>
      <c r="M122" s="7"/>
      <c r="N122" s="10"/>
      <c r="O122" s="11"/>
    </row>
    <row r="123" spans="1:15" ht="15" customHeight="1" x14ac:dyDescent="0.25">
      <c r="A123" s="58"/>
      <c r="B123" s="59" t="s">
        <v>54</v>
      </c>
      <c r="C123" s="60" t="s">
        <v>55</v>
      </c>
      <c r="D123" s="61" t="s">
        <v>128</v>
      </c>
      <c r="E123" s="61">
        <v>42430</v>
      </c>
      <c r="F123" s="6">
        <v>2897.78</v>
      </c>
      <c r="G123" s="6">
        <v>987.45</v>
      </c>
      <c r="H123" s="6">
        <v>2897.78</v>
      </c>
      <c r="I123" s="6">
        <f>434.67+552.78</f>
        <v>987.45</v>
      </c>
      <c r="J123" s="6"/>
      <c r="K123" s="62"/>
      <c r="L123" s="7"/>
      <c r="M123" s="7"/>
      <c r="N123" s="10"/>
      <c r="O123" s="11"/>
    </row>
    <row r="124" spans="1:15" ht="15" customHeight="1" x14ac:dyDescent="0.25">
      <c r="A124" s="58"/>
      <c r="B124" s="59" t="s">
        <v>58</v>
      </c>
      <c r="C124" s="60" t="s">
        <v>59</v>
      </c>
      <c r="D124" s="61" t="s">
        <v>128</v>
      </c>
      <c r="E124" s="61">
        <v>42430</v>
      </c>
      <c r="F124" s="6">
        <v>7623.81</v>
      </c>
      <c r="G124" s="6">
        <v>2677.01</v>
      </c>
      <c r="H124" s="6">
        <f>F124</f>
        <v>7623.81</v>
      </c>
      <c r="I124" s="6">
        <f>0.15*F124</f>
        <v>1143.5715</v>
      </c>
      <c r="J124" s="6"/>
      <c r="K124" s="6">
        <f>G124-I124</f>
        <v>1533.4385000000002</v>
      </c>
      <c r="L124" s="7"/>
      <c r="M124" s="7"/>
      <c r="N124" s="10"/>
      <c r="O124" s="11"/>
    </row>
    <row r="125" spans="1:15" ht="15" customHeight="1" x14ac:dyDescent="0.25">
      <c r="A125" s="58"/>
      <c r="B125" s="59" t="s">
        <v>100</v>
      </c>
      <c r="C125" s="60" t="s">
        <v>101</v>
      </c>
      <c r="D125" s="61" t="s">
        <v>126</v>
      </c>
      <c r="E125" s="61">
        <v>42437</v>
      </c>
      <c r="F125" s="6">
        <v>99887.86</v>
      </c>
      <c r="G125" s="6">
        <v>6380.64</v>
      </c>
      <c r="H125" s="6">
        <f>F125</f>
        <v>99887.86</v>
      </c>
      <c r="I125" s="6">
        <f>G125</f>
        <v>6380.64</v>
      </c>
      <c r="J125" s="6"/>
      <c r="K125" s="6"/>
      <c r="L125" s="7"/>
      <c r="M125" s="7"/>
      <c r="N125" s="10"/>
      <c r="O125" s="11"/>
    </row>
    <row r="126" spans="1:15" ht="15" customHeight="1" x14ac:dyDescent="0.25">
      <c r="A126" s="58"/>
      <c r="B126" s="59" t="s">
        <v>72</v>
      </c>
      <c r="C126" s="60" t="s">
        <v>73</v>
      </c>
      <c r="D126" s="61" t="s">
        <v>118</v>
      </c>
      <c r="E126" s="61">
        <v>42437</v>
      </c>
      <c r="F126" s="6">
        <v>0</v>
      </c>
      <c r="G126" s="6">
        <v>417.42</v>
      </c>
      <c r="H126" s="6">
        <v>0</v>
      </c>
      <c r="I126" s="6">
        <f>335.51+81.91</f>
        <v>417.41999999999996</v>
      </c>
      <c r="J126" s="6"/>
      <c r="K126" s="6">
        <f>G126-I126</f>
        <v>0</v>
      </c>
      <c r="L126" s="7"/>
      <c r="M126" s="7"/>
      <c r="N126" s="10"/>
      <c r="O126" s="11"/>
    </row>
    <row r="127" spans="1:15" ht="15" customHeight="1" x14ac:dyDescent="0.25">
      <c r="A127" s="58"/>
      <c r="B127" s="59" t="s">
        <v>66</v>
      </c>
      <c r="C127" s="60" t="s">
        <v>67</v>
      </c>
      <c r="D127" s="61" t="s">
        <v>130</v>
      </c>
      <c r="E127" s="61">
        <v>42438</v>
      </c>
      <c r="F127" s="6">
        <v>20876.21</v>
      </c>
      <c r="G127" s="6">
        <v>0</v>
      </c>
      <c r="H127" s="6">
        <f>F127</f>
        <v>20876.21</v>
      </c>
      <c r="I127" s="6">
        <v>0</v>
      </c>
      <c r="J127" s="7"/>
      <c r="K127" s="6"/>
      <c r="L127" s="7"/>
      <c r="M127" s="6"/>
      <c r="N127" s="10"/>
      <c r="O127" s="11"/>
    </row>
    <row r="128" spans="1:15" x14ac:dyDescent="0.25">
      <c r="A128" s="58"/>
      <c r="B128" s="59" t="s">
        <v>40</v>
      </c>
      <c r="C128" s="60" t="s">
        <v>41</v>
      </c>
      <c r="D128" s="61" t="s">
        <v>130</v>
      </c>
      <c r="E128" s="61">
        <v>42444</v>
      </c>
      <c r="F128" s="6">
        <v>20709.57</v>
      </c>
      <c r="G128" s="6">
        <v>3952.05</v>
      </c>
      <c r="H128" s="6">
        <v>20709.57</v>
      </c>
      <c r="I128" s="6">
        <f>3106.44+845.61</f>
        <v>3952.05</v>
      </c>
      <c r="J128" s="6"/>
      <c r="K128" s="6">
        <f>G128-I128</f>
        <v>0</v>
      </c>
      <c r="L128" s="7"/>
      <c r="M128" s="7"/>
      <c r="N128" s="10"/>
      <c r="O128" s="11"/>
    </row>
    <row r="129" spans="1:17" ht="15" customHeight="1" x14ac:dyDescent="0.25">
      <c r="A129" s="58"/>
      <c r="B129" s="59" t="s">
        <v>54</v>
      </c>
      <c r="C129" s="60" t="s">
        <v>55</v>
      </c>
      <c r="D129" s="61" t="s">
        <v>130</v>
      </c>
      <c r="E129" s="61">
        <v>42454</v>
      </c>
      <c r="F129" s="6">
        <v>16010.96</v>
      </c>
      <c r="G129" s="6">
        <v>5460.16</v>
      </c>
      <c r="H129" s="6">
        <f>F129</f>
        <v>16010.96</v>
      </c>
      <c r="I129" s="6">
        <f>2401.64+838.1+411.98+182.76+1625.68</f>
        <v>5460.16</v>
      </c>
      <c r="J129" s="6"/>
      <c r="K129" s="6"/>
      <c r="L129" s="7"/>
      <c r="M129" s="7"/>
      <c r="N129" s="10"/>
      <c r="O129" s="11"/>
    </row>
    <row r="130" spans="1:17" ht="15" customHeight="1" x14ac:dyDescent="0.25">
      <c r="A130" s="58"/>
      <c r="B130" s="59" t="s">
        <v>21</v>
      </c>
      <c r="C130" s="60" t="s">
        <v>22</v>
      </c>
      <c r="D130" s="61" t="s">
        <v>130</v>
      </c>
      <c r="E130" s="61">
        <v>42458</v>
      </c>
      <c r="F130" s="6">
        <v>5540.39</v>
      </c>
      <c r="G130" s="6">
        <v>433.73</v>
      </c>
      <c r="H130" s="6">
        <v>5540.39</v>
      </c>
      <c r="I130" s="6">
        <v>433.73</v>
      </c>
      <c r="J130" s="7"/>
      <c r="K130" s="6">
        <f>G130-I130</f>
        <v>0</v>
      </c>
      <c r="L130" s="7"/>
      <c r="M130" s="7"/>
      <c r="N130" s="10"/>
      <c r="O130" s="11"/>
    </row>
    <row r="131" spans="1:17" ht="15" customHeight="1" x14ac:dyDescent="0.25">
      <c r="A131" s="58"/>
      <c r="B131" s="59" t="s">
        <v>58</v>
      </c>
      <c r="C131" s="60" t="s">
        <v>59</v>
      </c>
      <c r="D131" s="61" t="s">
        <v>130</v>
      </c>
      <c r="E131" s="61">
        <v>42460</v>
      </c>
      <c r="F131" s="6">
        <v>9527.86</v>
      </c>
      <c r="G131" s="6">
        <v>3612.22</v>
      </c>
      <c r="H131" s="6">
        <f t="shared" ref="H131:H145" si="4">F131</f>
        <v>9527.86</v>
      </c>
      <c r="I131" s="6">
        <v>1429.17</v>
      </c>
      <c r="J131" s="7"/>
      <c r="K131" s="6">
        <f>G131-I131</f>
        <v>2183.0499999999997</v>
      </c>
      <c r="L131" s="7"/>
      <c r="M131" s="7"/>
      <c r="N131" s="10"/>
      <c r="O131" s="11"/>
    </row>
    <row r="132" spans="1:17" ht="15" customHeight="1" x14ac:dyDescent="0.25">
      <c r="A132" s="58"/>
      <c r="B132" s="59" t="s">
        <v>79</v>
      </c>
      <c r="C132" s="60" t="s">
        <v>80</v>
      </c>
      <c r="D132" s="61" t="s">
        <v>130</v>
      </c>
      <c r="E132" s="61">
        <v>42471</v>
      </c>
      <c r="F132" s="6">
        <v>25223.29</v>
      </c>
      <c r="G132" s="6">
        <v>9961.23</v>
      </c>
      <c r="H132" s="6">
        <f t="shared" si="4"/>
        <v>25223.29</v>
      </c>
      <c r="I132" s="6">
        <v>3783.49</v>
      </c>
      <c r="J132" s="6"/>
      <c r="K132" s="6">
        <f>G132-I132</f>
        <v>6177.74</v>
      </c>
      <c r="L132" s="7"/>
      <c r="M132" s="7"/>
      <c r="N132" s="10"/>
      <c r="O132" s="11"/>
    </row>
    <row r="133" spans="1:17" ht="15" customHeight="1" x14ac:dyDescent="0.25">
      <c r="A133" s="58"/>
      <c r="B133" s="59" t="s">
        <v>54</v>
      </c>
      <c r="C133" s="60" t="s">
        <v>55</v>
      </c>
      <c r="D133" s="61" t="s">
        <v>131</v>
      </c>
      <c r="E133" s="61">
        <v>42471</v>
      </c>
      <c r="F133" s="6">
        <v>19277.03</v>
      </c>
      <c r="G133" s="6">
        <v>1026.9100000000001</v>
      </c>
      <c r="H133" s="6">
        <f t="shared" si="4"/>
        <v>19277.03</v>
      </c>
      <c r="I133" s="6">
        <f>G133</f>
        <v>1026.9100000000001</v>
      </c>
      <c r="J133" s="6"/>
      <c r="K133" s="6"/>
      <c r="L133" s="7"/>
      <c r="M133" s="7"/>
      <c r="N133" s="10"/>
      <c r="O133" s="11"/>
    </row>
    <row r="134" spans="1:17" ht="15" customHeight="1" x14ac:dyDescent="0.25">
      <c r="A134" s="58"/>
      <c r="B134" s="59" t="s">
        <v>66</v>
      </c>
      <c r="C134" s="60" t="s">
        <v>67</v>
      </c>
      <c r="D134" s="61" t="s">
        <v>131</v>
      </c>
      <c r="E134" s="61">
        <v>42472</v>
      </c>
      <c r="F134" s="6">
        <v>3839.95</v>
      </c>
      <c r="G134" s="6">
        <v>7836.15</v>
      </c>
      <c r="H134" s="6">
        <f t="shared" si="4"/>
        <v>3839.95</v>
      </c>
      <c r="I134" s="6">
        <f>575.99+6644.18</f>
        <v>7220.17</v>
      </c>
      <c r="J134" s="7"/>
      <c r="K134" s="6">
        <f t="shared" ref="K134:K141" si="5">G134-I134</f>
        <v>615.97999999999956</v>
      </c>
      <c r="L134" s="7"/>
      <c r="M134" s="6"/>
      <c r="N134" s="10"/>
      <c r="O134" s="11"/>
    </row>
    <row r="135" spans="1:17" ht="15" customHeight="1" x14ac:dyDescent="0.25">
      <c r="A135" s="58"/>
      <c r="B135" s="59" t="s">
        <v>42</v>
      </c>
      <c r="C135" s="60" t="s">
        <v>43</v>
      </c>
      <c r="D135" s="61" t="s">
        <v>132</v>
      </c>
      <c r="E135" s="61">
        <v>42478</v>
      </c>
      <c r="F135" s="6">
        <v>23607.31</v>
      </c>
      <c r="G135" s="6">
        <v>3561.97</v>
      </c>
      <c r="H135" s="6">
        <f t="shared" si="4"/>
        <v>23607.31</v>
      </c>
      <c r="I135" s="6">
        <v>3541.0965000000001</v>
      </c>
      <c r="J135" s="6"/>
      <c r="K135" s="6">
        <f t="shared" si="5"/>
        <v>20.873499999999694</v>
      </c>
      <c r="L135" s="7"/>
      <c r="M135" s="7"/>
      <c r="N135" s="10"/>
      <c r="O135" s="11"/>
    </row>
    <row r="136" spans="1:17" ht="15" customHeight="1" x14ac:dyDescent="0.25">
      <c r="A136" s="58"/>
      <c r="B136" s="59" t="s">
        <v>42</v>
      </c>
      <c r="C136" s="60" t="s">
        <v>78</v>
      </c>
      <c r="D136" s="61" t="s">
        <v>132</v>
      </c>
      <c r="E136" s="61">
        <v>42478</v>
      </c>
      <c r="F136" s="6">
        <v>62153.11</v>
      </c>
      <c r="G136" s="6">
        <v>44824.82</v>
      </c>
      <c r="H136" s="6">
        <f t="shared" si="4"/>
        <v>62153.11</v>
      </c>
      <c r="I136" s="63">
        <f>0.15*F136</f>
        <v>9322.9665000000005</v>
      </c>
      <c r="J136" s="6"/>
      <c r="K136" s="6">
        <f t="shared" si="5"/>
        <v>35501.853499999997</v>
      </c>
      <c r="L136" s="7"/>
      <c r="M136" s="7"/>
      <c r="N136" s="10"/>
      <c r="O136" s="11"/>
    </row>
    <row r="137" spans="1:17" ht="15" customHeight="1" x14ac:dyDescent="0.25">
      <c r="A137" s="58"/>
      <c r="B137" s="59" t="s">
        <v>42</v>
      </c>
      <c r="C137" s="60" t="s">
        <v>44</v>
      </c>
      <c r="D137" s="61" t="s">
        <v>132</v>
      </c>
      <c r="E137" s="61">
        <v>42478</v>
      </c>
      <c r="F137" s="6">
        <f>2600.7+7014.21+37801.15+220</f>
        <v>47636.06</v>
      </c>
      <c r="G137" s="6">
        <v>11905.31</v>
      </c>
      <c r="H137" s="6">
        <f t="shared" si="4"/>
        <v>47636.06</v>
      </c>
      <c r="I137" s="6">
        <v>7145.4089999999997</v>
      </c>
      <c r="J137" s="6"/>
      <c r="K137" s="6">
        <f t="shared" si="5"/>
        <v>4759.9009999999998</v>
      </c>
      <c r="L137" s="7"/>
      <c r="M137" s="7"/>
      <c r="N137" s="10"/>
      <c r="O137" s="11"/>
    </row>
    <row r="138" spans="1:17" ht="15" customHeight="1" x14ac:dyDescent="0.25">
      <c r="A138" s="58"/>
      <c r="B138" s="59" t="s">
        <v>79</v>
      </c>
      <c r="C138" s="60" t="s">
        <v>80</v>
      </c>
      <c r="D138" s="61" t="s">
        <v>131</v>
      </c>
      <c r="E138" s="61">
        <v>42479</v>
      </c>
      <c r="F138" s="6">
        <v>25660.2</v>
      </c>
      <c r="G138" s="6">
        <v>11202.4</v>
      </c>
      <c r="H138" s="6">
        <f t="shared" si="4"/>
        <v>25660.2</v>
      </c>
      <c r="I138" s="6">
        <v>3849.03</v>
      </c>
      <c r="J138" s="6"/>
      <c r="K138" s="6">
        <f t="shared" si="5"/>
        <v>7353.369999999999</v>
      </c>
      <c r="L138" s="7"/>
      <c r="M138" s="7"/>
      <c r="N138" s="10"/>
      <c r="O138" s="11"/>
    </row>
    <row r="139" spans="1:17" ht="15" customHeight="1" x14ac:dyDescent="0.25">
      <c r="A139" s="58"/>
      <c r="B139" s="59" t="s">
        <v>72</v>
      </c>
      <c r="C139" s="60" t="s">
        <v>73</v>
      </c>
      <c r="D139" s="61" t="s">
        <v>119</v>
      </c>
      <c r="E139" s="61">
        <v>42480</v>
      </c>
      <c r="F139" s="6">
        <v>1061.0899999999999</v>
      </c>
      <c r="G139" s="6">
        <v>585.11</v>
      </c>
      <c r="H139" s="6">
        <f t="shared" si="4"/>
        <v>1061.0899999999999</v>
      </c>
      <c r="I139" s="6">
        <f>159.16+425.95</f>
        <v>585.11</v>
      </c>
      <c r="J139" s="6"/>
      <c r="K139" s="6">
        <f t="shared" si="5"/>
        <v>0</v>
      </c>
      <c r="L139" s="7"/>
      <c r="M139" s="7"/>
      <c r="N139" s="10"/>
      <c r="O139" s="11"/>
    </row>
    <row r="140" spans="1:17" ht="15" customHeight="1" x14ac:dyDescent="0.25">
      <c r="A140" s="58"/>
      <c r="B140" s="59" t="s">
        <v>72</v>
      </c>
      <c r="C140" s="60" t="s">
        <v>73</v>
      </c>
      <c r="D140" s="61" t="s">
        <v>121</v>
      </c>
      <c r="E140" s="61">
        <v>42480</v>
      </c>
      <c r="F140" s="6">
        <v>703.71</v>
      </c>
      <c r="G140" s="6">
        <v>2653.14</v>
      </c>
      <c r="H140" s="6">
        <f t="shared" si="4"/>
        <v>703.71</v>
      </c>
      <c r="I140" s="6">
        <f>105.56+2547.58</f>
        <v>2653.14</v>
      </c>
      <c r="J140" s="6"/>
      <c r="K140" s="6">
        <f t="shared" si="5"/>
        <v>0</v>
      </c>
      <c r="L140" s="7"/>
      <c r="M140" s="7"/>
      <c r="N140" s="10"/>
      <c r="O140" s="11"/>
    </row>
    <row r="141" spans="1:17" ht="15" customHeight="1" x14ac:dyDescent="0.25">
      <c r="A141" s="58"/>
      <c r="B141" s="59" t="s">
        <v>72</v>
      </c>
      <c r="C141" s="60" t="s">
        <v>73</v>
      </c>
      <c r="D141" s="61" t="s">
        <v>122</v>
      </c>
      <c r="E141" s="61">
        <v>42480</v>
      </c>
      <c r="F141" s="6">
        <v>271.74</v>
      </c>
      <c r="G141" s="6">
        <v>737.79</v>
      </c>
      <c r="H141" s="6">
        <f t="shared" si="4"/>
        <v>271.74</v>
      </c>
      <c r="I141" s="6">
        <f>40.76+233.53</f>
        <v>274.29000000000002</v>
      </c>
      <c r="J141" s="6"/>
      <c r="K141" s="6">
        <f t="shared" si="5"/>
        <v>463.49999999999994</v>
      </c>
      <c r="L141" s="7"/>
      <c r="M141" s="7"/>
      <c r="N141" s="10"/>
      <c r="O141" s="11"/>
    </row>
    <row r="142" spans="1:17" ht="15" customHeight="1" x14ac:dyDescent="0.25">
      <c r="A142" s="58"/>
      <c r="B142" s="59" t="s">
        <v>36</v>
      </c>
      <c r="C142" s="60" t="s">
        <v>37</v>
      </c>
      <c r="D142" s="61" t="s">
        <v>132</v>
      </c>
      <c r="E142" s="61">
        <v>42481</v>
      </c>
      <c r="F142" s="6">
        <v>2441.2399999999998</v>
      </c>
      <c r="G142" s="6">
        <v>366.19</v>
      </c>
      <c r="H142" s="6">
        <f t="shared" si="4"/>
        <v>2441.2399999999998</v>
      </c>
      <c r="I142" s="6">
        <f>G142</f>
        <v>366.19</v>
      </c>
      <c r="J142" s="6"/>
      <c r="K142" s="6"/>
      <c r="L142" s="7"/>
      <c r="M142" s="7"/>
      <c r="N142" s="10"/>
      <c r="O142" s="11"/>
    </row>
    <row r="143" spans="1:17" ht="15" customHeight="1" x14ac:dyDescent="0.25">
      <c r="A143" s="58"/>
      <c r="B143" s="59" t="s">
        <v>83</v>
      </c>
      <c r="C143" s="60" t="s">
        <v>84</v>
      </c>
      <c r="D143" s="61" t="s">
        <v>132</v>
      </c>
      <c r="E143" s="61">
        <v>42481</v>
      </c>
      <c r="F143" s="6">
        <v>25107.52</v>
      </c>
      <c r="G143" s="6">
        <v>6475</v>
      </c>
      <c r="H143" s="6">
        <f t="shared" si="4"/>
        <v>25107.52</v>
      </c>
      <c r="I143" s="6">
        <f>0.15*F143-0.01</f>
        <v>3766.1179999999995</v>
      </c>
      <c r="K143" s="6">
        <f>G143-I143</f>
        <v>2708.8820000000005</v>
      </c>
      <c r="L143" s="7"/>
      <c r="M143" s="7"/>
      <c r="N143" s="10"/>
      <c r="O143" s="11"/>
    </row>
    <row r="144" spans="1:17" ht="15" customHeight="1" x14ac:dyDescent="0.25">
      <c r="A144" s="58"/>
      <c r="B144" s="59" t="s">
        <v>70</v>
      </c>
      <c r="C144" s="60" t="s">
        <v>71</v>
      </c>
      <c r="D144" s="61" t="s">
        <v>132</v>
      </c>
      <c r="E144" s="61">
        <v>42482</v>
      </c>
      <c r="F144" s="6">
        <v>5338.09</v>
      </c>
      <c r="G144" s="6">
        <v>865.6</v>
      </c>
      <c r="H144" s="63">
        <f t="shared" si="4"/>
        <v>5338.09</v>
      </c>
      <c r="I144" s="6">
        <v>800.71</v>
      </c>
      <c r="J144" s="6"/>
      <c r="K144" s="6">
        <f t="shared" ref="K144" si="6">G144-I144</f>
        <v>64.889999999999986</v>
      </c>
      <c r="L144" s="7"/>
      <c r="M144" s="7"/>
      <c r="N144" s="10"/>
      <c r="O144" s="11"/>
      <c r="Q144" s="77"/>
    </row>
    <row r="145" spans="1:17" ht="15" customHeight="1" x14ac:dyDescent="0.25">
      <c r="A145" s="58"/>
      <c r="B145" s="59" t="s">
        <v>133</v>
      </c>
      <c r="C145" s="60" t="s">
        <v>22</v>
      </c>
      <c r="D145" s="61" t="s">
        <v>125</v>
      </c>
      <c r="E145" s="61">
        <v>42481</v>
      </c>
      <c r="F145" s="6">
        <v>883.53</v>
      </c>
      <c r="G145" s="6">
        <v>246.45</v>
      </c>
      <c r="H145" s="6">
        <f t="shared" si="4"/>
        <v>883.53</v>
      </c>
      <c r="I145" s="6">
        <v>132.53</v>
      </c>
      <c r="J145" s="6"/>
      <c r="K145" s="6">
        <f>G145-I145</f>
        <v>113.91999999999999</v>
      </c>
      <c r="L145" s="7"/>
      <c r="M145" s="7"/>
      <c r="N145" s="10"/>
      <c r="O145" s="11"/>
      <c r="Q145" s="77"/>
    </row>
    <row r="146" spans="1:17" ht="15" customHeight="1" x14ac:dyDescent="0.25">
      <c r="A146" s="58"/>
      <c r="B146" s="59" t="s">
        <v>47</v>
      </c>
      <c r="C146" s="60" t="s">
        <v>48</v>
      </c>
      <c r="D146" s="61" t="s">
        <v>132</v>
      </c>
      <c r="E146" s="61">
        <v>42484</v>
      </c>
      <c r="F146" s="6">
        <v>71448.67</v>
      </c>
      <c r="G146" s="6">
        <v>6055.72</v>
      </c>
      <c r="H146" s="6">
        <f>F146</f>
        <v>71448.67</v>
      </c>
      <c r="I146" s="6">
        <f>G146</f>
        <v>6055.72</v>
      </c>
      <c r="J146" s="6"/>
      <c r="K146" s="6"/>
      <c r="L146" s="7"/>
      <c r="M146" s="7"/>
      <c r="N146" s="10"/>
      <c r="O146" s="11"/>
      <c r="Q146" s="77"/>
    </row>
    <row r="147" spans="1:17" ht="15" customHeight="1" x14ac:dyDescent="0.25">
      <c r="A147" s="58"/>
      <c r="B147" s="59" t="s">
        <v>28</v>
      </c>
      <c r="C147" s="60" t="s">
        <v>29</v>
      </c>
      <c r="D147" s="61" t="s">
        <v>132</v>
      </c>
      <c r="E147" s="61">
        <v>42485</v>
      </c>
      <c r="F147" s="6">
        <v>217017.41</v>
      </c>
      <c r="G147" s="6">
        <v>28839.040000000001</v>
      </c>
      <c r="H147" s="6">
        <f t="shared" ref="H147:I156" si="7">F147</f>
        <v>217017.41</v>
      </c>
      <c r="I147" s="6">
        <f t="shared" si="7"/>
        <v>28839.040000000001</v>
      </c>
      <c r="J147" s="6"/>
      <c r="K147" s="6"/>
      <c r="L147" s="7"/>
      <c r="M147" s="7"/>
      <c r="N147" s="10"/>
      <c r="O147" s="11"/>
      <c r="Q147" s="77"/>
    </row>
    <row r="148" spans="1:17" ht="15" customHeight="1" x14ac:dyDescent="0.25">
      <c r="A148" s="58"/>
      <c r="B148" s="59" t="s">
        <v>25</v>
      </c>
      <c r="C148" s="60" t="s">
        <v>27</v>
      </c>
      <c r="D148" s="61" t="s">
        <v>132</v>
      </c>
      <c r="E148" s="61">
        <v>42487</v>
      </c>
      <c r="F148" s="6">
        <v>75500.87</v>
      </c>
      <c r="G148" s="6">
        <v>9611.4</v>
      </c>
      <c r="H148" s="6">
        <f t="shared" si="7"/>
        <v>75500.87</v>
      </c>
      <c r="I148" s="63">
        <f t="shared" si="7"/>
        <v>9611.4</v>
      </c>
      <c r="J148" s="6"/>
      <c r="K148" s="6"/>
      <c r="L148" s="7"/>
      <c r="M148" s="7"/>
      <c r="N148" s="10"/>
      <c r="O148" s="11"/>
      <c r="Q148" s="77"/>
    </row>
    <row r="149" spans="1:17" ht="15" customHeight="1" x14ac:dyDescent="0.25">
      <c r="A149" s="58"/>
      <c r="B149" s="59" t="s">
        <v>25</v>
      </c>
      <c r="C149" s="60" t="s">
        <v>26</v>
      </c>
      <c r="D149" s="61" t="s">
        <v>132</v>
      </c>
      <c r="E149" s="61">
        <v>42487</v>
      </c>
      <c r="F149" s="78">
        <v>19447.490000000002</v>
      </c>
      <c r="G149" s="6">
        <v>2751.95</v>
      </c>
      <c r="H149" s="6">
        <f t="shared" si="7"/>
        <v>19447.490000000002</v>
      </c>
      <c r="I149" s="6">
        <f t="shared" si="7"/>
        <v>2751.95</v>
      </c>
      <c r="J149" s="6"/>
      <c r="K149" s="6"/>
      <c r="L149" s="7"/>
      <c r="M149" s="7"/>
      <c r="N149" s="10"/>
      <c r="O149" s="11"/>
    </row>
    <row r="150" spans="1:17" ht="15" customHeight="1" x14ac:dyDescent="0.25">
      <c r="A150" s="58"/>
      <c r="B150" s="59" t="s">
        <v>25</v>
      </c>
      <c r="C150" s="60" t="s">
        <v>49</v>
      </c>
      <c r="D150" s="61" t="s">
        <v>132</v>
      </c>
      <c r="E150" s="61">
        <v>42487</v>
      </c>
      <c r="F150" s="6">
        <v>37343.4</v>
      </c>
      <c r="G150" s="6">
        <v>4547.53</v>
      </c>
      <c r="H150" s="6">
        <f t="shared" si="7"/>
        <v>37343.4</v>
      </c>
      <c r="I150" s="6">
        <f t="shared" si="7"/>
        <v>4547.53</v>
      </c>
      <c r="J150" s="6"/>
      <c r="K150" s="6"/>
      <c r="L150" s="7"/>
      <c r="M150" s="7"/>
      <c r="N150" s="10"/>
      <c r="O150" s="11"/>
    </row>
    <row r="151" spans="1:17" ht="15" customHeight="1" x14ac:dyDescent="0.25">
      <c r="A151" s="58"/>
      <c r="B151" s="59" t="s">
        <v>25</v>
      </c>
      <c r="C151" s="60" t="s">
        <v>56</v>
      </c>
      <c r="D151" s="61" t="s">
        <v>132</v>
      </c>
      <c r="E151" s="61">
        <v>42487</v>
      </c>
      <c r="F151" s="6">
        <v>63206.94</v>
      </c>
      <c r="G151" s="6">
        <v>7146.29</v>
      </c>
      <c r="H151" s="6">
        <f t="shared" si="7"/>
        <v>63206.94</v>
      </c>
      <c r="I151" s="6">
        <f t="shared" si="7"/>
        <v>7146.29</v>
      </c>
      <c r="J151" s="6"/>
      <c r="K151" s="6"/>
      <c r="L151" s="7"/>
      <c r="M151" s="7"/>
      <c r="N151" s="10"/>
      <c r="O151" s="11"/>
    </row>
    <row r="152" spans="1:17" ht="15" customHeight="1" x14ac:dyDescent="0.25">
      <c r="A152" s="58"/>
      <c r="B152" s="59" t="s">
        <v>25</v>
      </c>
      <c r="C152" s="60" t="s">
        <v>57</v>
      </c>
      <c r="D152" s="61" t="s">
        <v>132</v>
      </c>
      <c r="E152" s="61">
        <v>42487</v>
      </c>
      <c r="F152" s="6">
        <v>54137.26</v>
      </c>
      <c r="G152" s="6">
        <v>6239.51</v>
      </c>
      <c r="H152" s="6">
        <f t="shared" si="7"/>
        <v>54137.26</v>
      </c>
      <c r="I152" s="6">
        <f t="shared" si="7"/>
        <v>6239.51</v>
      </c>
      <c r="J152" s="6"/>
      <c r="K152" s="6"/>
      <c r="L152" s="7"/>
      <c r="M152" s="7"/>
      <c r="N152" s="10"/>
      <c r="O152" s="11"/>
    </row>
    <row r="153" spans="1:17" ht="15" customHeight="1" x14ac:dyDescent="0.25">
      <c r="A153" s="58"/>
      <c r="B153" s="59" t="s">
        <v>25</v>
      </c>
      <c r="C153" s="60" t="s">
        <v>60</v>
      </c>
      <c r="D153" s="61" t="s">
        <v>132</v>
      </c>
      <c r="E153" s="61">
        <v>42487</v>
      </c>
      <c r="F153" s="6">
        <v>37938.83</v>
      </c>
      <c r="G153" s="6">
        <v>4607.9399999999996</v>
      </c>
      <c r="H153" s="6">
        <f t="shared" si="7"/>
        <v>37938.83</v>
      </c>
      <c r="I153" s="6">
        <f t="shared" si="7"/>
        <v>4607.9399999999996</v>
      </c>
      <c r="J153" s="6"/>
      <c r="K153" s="6"/>
      <c r="L153" s="7"/>
      <c r="M153" s="7"/>
      <c r="N153" s="10"/>
      <c r="O153" s="11"/>
    </row>
    <row r="154" spans="1:17" ht="15" customHeight="1" x14ac:dyDescent="0.25">
      <c r="A154" s="58"/>
      <c r="B154" s="59" t="s">
        <v>25</v>
      </c>
      <c r="C154" s="60" t="s">
        <v>61</v>
      </c>
      <c r="D154" s="61" t="s">
        <v>132</v>
      </c>
      <c r="E154" s="61">
        <v>42487</v>
      </c>
      <c r="F154" s="6">
        <v>58481.27</v>
      </c>
      <c r="G154" s="6">
        <v>6671.15</v>
      </c>
      <c r="H154" s="6">
        <f t="shared" si="7"/>
        <v>58481.27</v>
      </c>
      <c r="I154" s="63">
        <f t="shared" si="7"/>
        <v>6671.15</v>
      </c>
      <c r="J154" s="6"/>
      <c r="K154" s="6"/>
      <c r="L154" s="7"/>
      <c r="M154" s="7"/>
      <c r="N154" s="10"/>
      <c r="O154" s="11"/>
    </row>
    <row r="155" spans="1:17" ht="15" customHeight="1" x14ac:dyDescent="0.25">
      <c r="A155" s="58"/>
      <c r="B155" s="59" t="s">
        <v>25</v>
      </c>
      <c r="C155" s="60" t="s">
        <v>64</v>
      </c>
      <c r="D155" s="61" t="s">
        <v>132</v>
      </c>
      <c r="E155" s="61">
        <v>42487</v>
      </c>
      <c r="F155" s="6">
        <v>26184.84</v>
      </c>
      <c r="G155" s="6">
        <v>3433.96</v>
      </c>
      <c r="H155" s="6">
        <f t="shared" si="7"/>
        <v>26184.84</v>
      </c>
      <c r="I155" s="6">
        <f t="shared" si="7"/>
        <v>3433.96</v>
      </c>
      <c r="J155" s="6"/>
      <c r="K155" s="6"/>
      <c r="L155" s="7"/>
      <c r="M155" s="7"/>
      <c r="N155" s="10"/>
      <c r="O155" s="11"/>
    </row>
    <row r="156" spans="1:17" ht="15" customHeight="1" x14ac:dyDescent="0.25">
      <c r="A156" s="58"/>
      <c r="B156" s="59" t="s">
        <v>25</v>
      </c>
      <c r="C156" s="60" t="s">
        <v>65</v>
      </c>
      <c r="D156" s="61" t="s">
        <v>132</v>
      </c>
      <c r="E156" s="61">
        <v>42487</v>
      </c>
      <c r="F156" s="6">
        <v>13234.25</v>
      </c>
      <c r="G156" s="6">
        <v>1823.89</v>
      </c>
      <c r="H156" s="6">
        <f t="shared" si="7"/>
        <v>13234.25</v>
      </c>
      <c r="I156" s="6">
        <f t="shared" si="7"/>
        <v>1823.89</v>
      </c>
      <c r="J156" s="6"/>
      <c r="K156" s="6"/>
      <c r="L156" s="7"/>
      <c r="M156" s="7"/>
      <c r="N156" s="10"/>
      <c r="O156" s="11"/>
    </row>
    <row r="157" spans="1:17" ht="15" customHeight="1" x14ac:dyDescent="0.25">
      <c r="A157" s="58"/>
      <c r="B157" s="59" t="s">
        <v>25</v>
      </c>
      <c r="C157" s="60" t="s">
        <v>76</v>
      </c>
      <c r="D157" s="61" t="s">
        <v>132</v>
      </c>
      <c r="E157" s="61">
        <v>42487</v>
      </c>
      <c r="F157" s="6">
        <v>20498.13</v>
      </c>
      <c r="G157" s="6">
        <v>2772.57</v>
      </c>
      <c r="H157" s="6">
        <f>F157</f>
        <v>20498.13</v>
      </c>
      <c r="I157" s="6">
        <f>G157</f>
        <v>2772.57</v>
      </c>
      <c r="J157" s="6"/>
      <c r="K157" s="6"/>
      <c r="L157" s="7"/>
      <c r="M157" s="7"/>
      <c r="N157" s="10"/>
      <c r="O157" s="11"/>
    </row>
    <row r="158" spans="1:17" ht="15" customHeight="1" x14ac:dyDescent="0.25">
      <c r="A158" s="58"/>
      <c r="B158" s="59" t="s">
        <v>25</v>
      </c>
      <c r="C158" s="60" t="s">
        <v>77</v>
      </c>
      <c r="D158" s="61" t="s">
        <v>132</v>
      </c>
      <c r="E158" s="61">
        <v>42487</v>
      </c>
      <c r="F158" s="79">
        <f>4706.73+23844.14+10533.38+343.33+657.63</f>
        <v>40085.21</v>
      </c>
      <c r="G158" s="6">
        <v>4823.75</v>
      </c>
      <c r="H158" s="6">
        <f>F158</f>
        <v>40085.21</v>
      </c>
      <c r="I158" s="6">
        <f>G158</f>
        <v>4823.75</v>
      </c>
      <c r="J158" s="6"/>
      <c r="K158" s="6"/>
      <c r="L158" s="7"/>
      <c r="M158" s="7"/>
      <c r="N158" s="10"/>
      <c r="O158" s="11"/>
    </row>
    <row r="159" spans="1:17" ht="15" customHeight="1" x14ac:dyDescent="0.25">
      <c r="A159" s="58"/>
      <c r="B159" s="59" t="s">
        <v>25</v>
      </c>
      <c r="C159" s="60" t="s">
        <v>87</v>
      </c>
      <c r="D159" s="61" t="s">
        <v>132</v>
      </c>
      <c r="E159" s="61">
        <v>42487</v>
      </c>
      <c r="F159" s="6">
        <v>9358.68</v>
      </c>
      <c r="G159" s="6">
        <v>1512.41</v>
      </c>
      <c r="H159" s="6">
        <f t="shared" ref="H159:I174" si="8">F159</f>
        <v>9358.68</v>
      </c>
      <c r="I159" s="6">
        <v>1403.8</v>
      </c>
      <c r="J159" s="6"/>
      <c r="K159" s="6">
        <f t="shared" ref="K159" si="9">G159-I159</f>
        <v>108.61000000000013</v>
      </c>
      <c r="L159" s="7"/>
      <c r="M159" s="7"/>
      <c r="N159" s="10"/>
      <c r="O159" s="11"/>
    </row>
    <row r="160" spans="1:17" ht="15" customHeight="1" x14ac:dyDescent="0.25">
      <c r="A160" s="58"/>
      <c r="B160" s="59" t="s">
        <v>25</v>
      </c>
      <c r="C160" s="60" t="s">
        <v>88</v>
      </c>
      <c r="D160" s="61" t="s">
        <v>132</v>
      </c>
      <c r="E160" s="61">
        <v>42487</v>
      </c>
      <c r="F160" s="6">
        <v>21327.22</v>
      </c>
      <c r="G160" s="6">
        <v>2941.88</v>
      </c>
      <c r="H160" s="6">
        <f t="shared" si="8"/>
        <v>21327.22</v>
      </c>
      <c r="I160" s="6">
        <f t="shared" si="8"/>
        <v>2941.88</v>
      </c>
      <c r="J160" s="6"/>
      <c r="K160" s="6"/>
      <c r="L160" s="7"/>
      <c r="M160" s="7"/>
      <c r="N160" s="10"/>
      <c r="O160" s="11"/>
    </row>
    <row r="161" spans="1:15" ht="15" customHeight="1" x14ac:dyDescent="0.25">
      <c r="A161" s="58"/>
      <c r="B161" s="59" t="s">
        <v>25</v>
      </c>
      <c r="C161" s="60" t="s">
        <v>89</v>
      </c>
      <c r="D161" s="61" t="s">
        <v>132</v>
      </c>
      <c r="E161" s="61">
        <v>42487</v>
      </c>
      <c r="F161" s="6">
        <v>49956.82</v>
      </c>
      <c r="G161" s="6">
        <v>5816.52</v>
      </c>
      <c r="H161" s="6">
        <f t="shared" si="8"/>
        <v>49956.82</v>
      </c>
      <c r="I161" s="6">
        <f t="shared" si="8"/>
        <v>5816.52</v>
      </c>
      <c r="J161" s="6"/>
      <c r="K161" s="6"/>
      <c r="L161" s="7"/>
      <c r="M161" s="7"/>
      <c r="N161" s="10"/>
      <c r="O161" s="11"/>
    </row>
    <row r="162" spans="1:15" ht="15" customHeight="1" x14ac:dyDescent="0.25">
      <c r="A162" s="58"/>
      <c r="B162" s="59" t="s">
        <v>25</v>
      </c>
      <c r="C162" s="60" t="s">
        <v>94</v>
      </c>
      <c r="D162" s="61" t="s">
        <v>132</v>
      </c>
      <c r="E162" s="61">
        <v>42487</v>
      </c>
      <c r="F162" s="6">
        <v>239121.65</v>
      </c>
      <c r="G162" s="6">
        <v>26108.1</v>
      </c>
      <c r="H162" s="6">
        <f t="shared" si="8"/>
        <v>239121.65</v>
      </c>
      <c r="I162" s="6">
        <f t="shared" si="8"/>
        <v>26108.1</v>
      </c>
      <c r="J162" s="6"/>
      <c r="K162" s="6"/>
      <c r="L162" s="7"/>
      <c r="M162" s="7"/>
      <c r="N162" s="10"/>
      <c r="O162" s="11"/>
    </row>
    <row r="163" spans="1:15" ht="15" customHeight="1" x14ac:dyDescent="0.25">
      <c r="A163" s="58"/>
      <c r="B163" s="59" t="s">
        <v>25</v>
      </c>
      <c r="C163" s="60" t="s">
        <v>95</v>
      </c>
      <c r="D163" s="61" t="s">
        <v>132</v>
      </c>
      <c r="E163" s="61">
        <v>42487</v>
      </c>
      <c r="F163" s="6">
        <v>28701.21</v>
      </c>
      <c r="G163" s="6">
        <v>3684.25</v>
      </c>
      <c r="H163" s="6">
        <f t="shared" si="8"/>
        <v>28701.21</v>
      </c>
      <c r="I163" s="6">
        <f t="shared" si="8"/>
        <v>3684.25</v>
      </c>
      <c r="J163" s="6"/>
      <c r="K163" s="6"/>
      <c r="L163" s="7"/>
      <c r="M163" s="7"/>
      <c r="N163" s="10"/>
      <c r="O163" s="11"/>
    </row>
    <row r="164" spans="1:15" ht="15" customHeight="1" x14ac:dyDescent="0.25">
      <c r="A164" s="58"/>
      <c r="B164" s="59" t="s">
        <v>25</v>
      </c>
      <c r="C164" s="60" t="s">
        <v>98</v>
      </c>
      <c r="D164" s="61" t="s">
        <v>132</v>
      </c>
      <c r="E164" s="61">
        <v>42487</v>
      </c>
      <c r="F164" s="6">
        <v>12744.85</v>
      </c>
      <c r="G164" s="6">
        <v>1771.39</v>
      </c>
      <c r="H164" s="6">
        <f t="shared" si="8"/>
        <v>12744.85</v>
      </c>
      <c r="I164" s="6">
        <f t="shared" si="8"/>
        <v>1771.39</v>
      </c>
      <c r="J164" s="6"/>
      <c r="K164" s="6"/>
      <c r="L164" s="7"/>
      <c r="M164" s="7"/>
      <c r="N164" s="10"/>
      <c r="O164" s="11"/>
    </row>
    <row r="165" spans="1:15" ht="15" customHeight="1" x14ac:dyDescent="0.25">
      <c r="A165" s="58"/>
      <c r="B165" s="59" t="s">
        <v>25</v>
      </c>
      <c r="C165" s="60" t="s">
        <v>99</v>
      </c>
      <c r="D165" s="61" t="s">
        <v>132</v>
      </c>
      <c r="E165" s="61">
        <v>42487</v>
      </c>
      <c r="F165" s="6">
        <v>10933.68</v>
      </c>
      <c r="G165" s="6">
        <v>1592.53</v>
      </c>
      <c r="H165" s="6">
        <f t="shared" si="8"/>
        <v>10933.68</v>
      </c>
      <c r="I165" s="6">
        <f t="shared" si="8"/>
        <v>1592.53</v>
      </c>
      <c r="J165" s="6"/>
      <c r="K165" s="6"/>
      <c r="L165" s="7"/>
      <c r="M165" s="7"/>
      <c r="N165" s="10"/>
      <c r="O165" s="11"/>
    </row>
    <row r="166" spans="1:15" ht="15" customHeight="1" x14ac:dyDescent="0.25">
      <c r="A166" s="58"/>
      <c r="B166" s="59" t="s">
        <v>25</v>
      </c>
      <c r="C166" s="60" t="s">
        <v>104</v>
      </c>
      <c r="D166" s="61" t="s">
        <v>132</v>
      </c>
      <c r="E166" s="61">
        <v>42487</v>
      </c>
      <c r="F166" s="6">
        <v>41711.360000000001</v>
      </c>
      <c r="G166" s="6">
        <v>4987.8</v>
      </c>
      <c r="H166" s="6">
        <f t="shared" si="8"/>
        <v>41711.360000000001</v>
      </c>
      <c r="I166" s="6">
        <f t="shared" si="8"/>
        <v>4987.8</v>
      </c>
      <c r="J166" s="6"/>
      <c r="K166" s="6"/>
      <c r="L166" s="7"/>
      <c r="M166" s="7"/>
      <c r="N166" s="10"/>
      <c r="O166" s="11"/>
    </row>
    <row r="167" spans="1:15" ht="15" customHeight="1" x14ac:dyDescent="0.25">
      <c r="A167" s="58"/>
      <c r="B167" s="59" t="s">
        <v>81</v>
      </c>
      <c r="C167" s="60" t="s">
        <v>82</v>
      </c>
      <c r="D167" s="61" t="s">
        <v>132</v>
      </c>
      <c r="E167" s="61">
        <v>42487</v>
      </c>
      <c r="F167" s="6">
        <v>6876.39</v>
      </c>
      <c r="G167" s="6">
        <v>1042.43</v>
      </c>
      <c r="H167" s="6">
        <f t="shared" si="8"/>
        <v>6876.39</v>
      </c>
      <c r="I167" s="6">
        <f>1031.4585+10.97</f>
        <v>1042.4285</v>
      </c>
      <c r="J167" s="6"/>
      <c r="K167" s="6">
        <f>G167-I167</f>
        <v>1.5000000000782165E-3</v>
      </c>
      <c r="L167" s="7"/>
      <c r="M167" s="7"/>
      <c r="N167" s="10"/>
      <c r="O167" s="11"/>
    </row>
    <row r="168" spans="1:15" ht="15" customHeight="1" x14ac:dyDescent="0.25">
      <c r="A168" s="58"/>
      <c r="B168" s="59" t="s">
        <v>30</v>
      </c>
      <c r="C168" s="60" t="s">
        <v>31</v>
      </c>
      <c r="D168" s="61" t="s">
        <v>132</v>
      </c>
      <c r="E168" s="61">
        <v>75359</v>
      </c>
      <c r="F168" s="6">
        <v>44666.07</v>
      </c>
      <c r="G168" s="6">
        <v>7494</v>
      </c>
      <c r="H168" s="6">
        <f t="shared" si="8"/>
        <v>44666.07</v>
      </c>
      <c r="I168" s="6">
        <f>6699.91+794.09</f>
        <v>7494</v>
      </c>
      <c r="J168" s="6"/>
      <c r="K168" s="6"/>
      <c r="L168" s="7"/>
      <c r="M168" s="7"/>
      <c r="N168" s="10"/>
      <c r="O168" s="11"/>
    </row>
    <row r="169" spans="1:15" ht="15" customHeight="1" x14ac:dyDescent="0.25">
      <c r="A169" s="58"/>
      <c r="B169" s="59" t="s">
        <v>32</v>
      </c>
      <c r="C169" s="60" t="s">
        <v>33</v>
      </c>
      <c r="D169" s="61" t="s">
        <v>132</v>
      </c>
      <c r="E169" s="61">
        <v>42488</v>
      </c>
      <c r="F169" s="6">
        <v>21729.360000000001</v>
      </c>
      <c r="G169" s="6">
        <v>2612.5</v>
      </c>
      <c r="H169" s="6">
        <f t="shared" si="8"/>
        <v>21729.360000000001</v>
      </c>
      <c r="I169" s="63">
        <f>G169</f>
        <v>2612.5</v>
      </c>
      <c r="J169" s="6"/>
      <c r="K169" s="6"/>
      <c r="L169" s="7"/>
      <c r="M169" s="7"/>
      <c r="N169" s="10"/>
      <c r="O169" s="11"/>
    </row>
    <row r="170" spans="1:15" ht="15" customHeight="1" x14ac:dyDescent="0.25">
      <c r="A170" s="58"/>
      <c r="B170" s="59" t="s">
        <v>62</v>
      </c>
      <c r="C170" s="60" t="s">
        <v>63</v>
      </c>
      <c r="D170" s="61" t="s">
        <v>132</v>
      </c>
      <c r="E170" s="61">
        <v>42488</v>
      </c>
      <c r="F170" s="6">
        <v>55992.08</v>
      </c>
      <c r="G170" s="6">
        <v>4878.67</v>
      </c>
      <c r="H170" s="6">
        <f t="shared" si="8"/>
        <v>55992.08</v>
      </c>
      <c r="I170" s="6">
        <f>G170</f>
        <v>4878.67</v>
      </c>
      <c r="J170" s="6"/>
      <c r="K170" s="6"/>
      <c r="L170" s="7"/>
      <c r="M170" s="7"/>
      <c r="N170" s="10"/>
      <c r="O170" s="11"/>
    </row>
    <row r="171" spans="1:15" ht="15" customHeight="1" x14ac:dyDescent="0.25">
      <c r="A171" s="58"/>
      <c r="B171" s="59" t="s">
        <v>23</v>
      </c>
      <c r="C171" s="60" t="s">
        <v>24</v>
      </c>
      <c r="D171" s="61" t="s">
        <v>132</v>
      </c>
      <c r="E171" s="61">
        <v>42488</v>
      </c>
      <c r="F171" s="6">
        <v>53553.64</v>
      </c>
      <c r="G171" s="6">
        <v>6176.62</v>
      </c>
      <c r="H171" s="6">
        <f t="shared" si="8"/>
        <v>53553.64</v>
      </c>
      <c r="I171" s="6">
        <f>G171</f>
        <v>6176.62</v>
      </c>
      <c r="J171" s="6"/>
      <c r="K171" s="6"/>
      <c r="L171" s="7"/>
      <c r="M171" s="7"/>
      <c r="N171" s="10"/>
      <c r="O171" s="11"/>
    </row>
    <row r="172" spans="1:15" ht="15" customHeight="1" x14ac:dyDescent="0.25">
      <c r="A172" s="58"/>
      <c r="B172" s="59" t="s">
        <v>21</v>
      </c>
      <c r="C172" s="60" t="s">
        <v>22</v>
      </c>
      <c r="D172" s="61" t="s">
        <v>131</v>
      </c>
      <c r="E172" s="61">
        <v>42488</v>
      </c>
      <c r="F172" s="6">
        <v>2095.33</v>
      </c>
      <c r="G172" s="6">
        <v>532.30999999999995</v>
      </c>
      <c r="H172" s="6">
        <f t="shared" si="8"/>
        <v>2095.33</v>
      </c>
      <c r="I172" s="6">
        <v>314.29950000000002</v>
      </c>
      <c r="J172" s="6"/>
      <c r="K172" s="6">
        <f>G172-I172</f>
        <v>218.01049999999992</v>
      </c>
      <c r="L172" s="7"/>
      <c r="M172" s="7"/>
      <c r="N172" s="10"/>
      <c r="O172" s="11"/>
    </row>
    <row r="173" spans="1:15" ht="15" customHeight="1" x14ac:dyDescent="0.25">
      <c r="A173" s="58"/>
      <c r="B173" s="59" t="s">
        <v>38</v>
      </c>
      <c r="C173" s="60" t="s">
        <v>39</v>
      </c>
      <c r="D173" s="61" t="s">
        <v>132</v>
      </c>
      <c r="E173" s="61">
        <v>42489</v>
      </c>
      <c r="F173" s="6">
        <v>36210.879999999997</v>
      </c>
      <c r="G173" s="6">
        <v>14489.47</v>
      </c>
      <c r="H173" s="6">
        <f t="shared" si="8"/>
        <v>36210.879999999997</v>
      </c>
      <c r="I173" s="6">
        <v>5431.63</v>
      </c>
      <c r="J173" s="6"/>
      <c r="K173" s="6">
        <f>G173-I173</f>
        <v>9057.84</v>
      </c>
      <c r="L173" s="7"/>
      <c r="M173" s="7"/>
      <c r="N173" s="10"/>
      <c r="O173" s="11"/>
    </row>
    <row r="174" spans="1:15" ht="15" customHeight="1" x14ac:dyDescent="0.25">
      <c r="A174" s="58"/>
      <c r="B174" s="59" t="s">
        <v>58</v>
      </c>
      <c r="C174" s="60" t="s">
        <v>59</v>
      </c>
      <c r="D174" s="61" t="s">
        <v>131</v>
      </c>
      <c r="E174" s="61">
        <v>42489</v>
      </c>
      <c r="F174" s="6">
        <v>5300.08</v>
      </c>
      <c r="G174" s="6">
        <v>2959.59</v>
      </c>
      <c r="H174" s="6">
        <f t="shared" si="8"/>
        <v>5300.08</v>
      </c>
      <c r="I174" s="6">
        <v>795.01199999999994</v>
      </c>
      <c r="J174" s="6"/>
      <c r="K174" s="6">
        <f>G174-I174</f>
        <v>2164.5780000000004</v>
      </c>
      <c r="L174" s="7"/>
      <c r="M174" s="7"/>
      <c r="N174" s="10"/>
      <c r="O174" s="11"/>
    </row>
    <row r="175" spans="1:15" ht="15" customHeight="1" x14ac:dyDescent="0.25">
      <c r="A175" s="58"/>
      <c r="B175" s="59" t="s">
        <v>34</v>
      </c>
      <c r="C175" s="60" t="s">
        <v>35</v>
      </c>
      <c r="D175" s="61" t="s">
        <v>132</v>
      </c>
      <c r="E175" s="61">
        <v>42499</v>
      </c>
      <c r="F175" s="6">
        <f>679.19+375+20921.57</f>
        <v>21975.759999999998</v>
      </c>
      <c r="G175" s="6">
        <f>400-200.24</f>
        <v>199.76</v>
      </c>
      <c r="H175" s="6">
        <f t="shared" ref="H175" si="10">F175</f>
        <v>21975.759999999998</v>
      </c>
      <c r="I175" s="6">
        <f>G175</f>
        <v>199.76</v>
      </c>
      <c r="J175" s="6"/>
      <c r="K175" s="6"/>
      <c r="L175" s="7"/>
      <c r="M175" s="7"/>
      <c r="N175" s="10"/>
      <c r="O175" s="11"/>
    </row>
    <row r="176" spans="1:15" ht="15" customHeight="1" x14ac:dyDescent="0.25">
      <c r="A176" s="58"/>
      <c r="B176" s="59" t="s">
        <v>40</v>
      </c>
      <c r="C176" s="60" t="s">
        <v>41</v>
      </c>
      <c r="D176" s="61" t="s">
        <v>131</v>
      </c>
      <c r="E176" s="61">
        <v>42500</v>
      </c>
      <c r="F176" s="6">
        <f>1254.26+37232.93+6199.18+1911.62</f>
        <v>46597.990000000005</v>
      </c>
      <c r="G176" s="6">
        <v>3340.48</v>
      </c>
      <c r="H176" s="6">
        <f>F176</f>
        <v>46597.990000000005</v>
      </c>
      <c r="I176" s="6">
        <f>G176</f>
        <v>3340.48</v>
      </c>
      <c r="J176" s="6"/>
      <c r="K176" s="6"/>
      <c r="L176" s="7"/>
      <c r="M176" s="7"/>
      <c r="N176" s="10"/>
      <c r="O176" s="11"/>
    </row>
    <row r="177" spans="1:15" ht="15" customHeight="1" x14ac:dyDescent="0.25">
      <c r="A177" s="58"/>
      <c r="B177" s="59" t="s">
        <v>45</v>
      </c>
      <c r="C177" s="60" t="s">
        <v>46</v>
      </c>
      <c r="D177" s="61" t="s">
        <v>132</v>
      </c>
      <c r="E177" s="61">
        <v>42502</v>
      </c>
      <c r="F177" s="6">
        <v>8446.66</v>
      </c>
      <c r="G177" s="6">
        <v>1267</v>
      </c>
      <c r="H177" s="6">
        <f>F177</f>
        <v>8446.66</v>
      </c>
      <c r="I177" s="6">
        <f>G177</f>
        <v>1267</v>
      </c>
      <c r="J177" s="6"/>
      <c r="K177" s="6"/>
      <c r="L177" s="7"/>
      <c r="M177" s="7"/>
      <c r="N177" s="10"/>
      <c r="O177" s="11"/>
    </row>
    <row r="178" spans="1:15" ht="15" customHeight="1" x14ac:dyDescent="0.25">
      <c r="A178" s="58"/>
      <c r="B178" s="59" t="s">
        <v>79</v>
      </c>
      <c r="C178" s="60" t="s">
        <v>80</v>
      </c>
      <c r="D178" s="61" t="s">
        <v>134</v>
      </c>
      <c r="E178" s="61">
        <v>42503</v>
      </c>
      <c r="F178" s="6">
        <f>3301.77+5514.73+25052.08+211.5+1477.5</f>
        <v>35557.58</v>
      </c>
      <c r="G178" s="6">
        <v>9547.51</v>
      </c>
      <c r="H178" s="6">
        <f t="shared" ref="H178:H183" si="11">F178</f>
        <v>35557.58</v>
      </c>
      <c r="I178" s="6">
        <v>5333.6369999999997</v>
      </c>
      <c r="J178" s="6"/>
      <c r="K178" s="6">
        <f>G178-I178</f>
        <v>4213.8730000000005</v>
      </c>
      <c r="L178" s="7"/>
      <c r="M178" s="7"/>
      <c r="N178" s="10"/>
      <c r="O178" s="11"/>
    </row>
    <row r="179" spans="1:15" ht="15" customHeight="1" x14ac:dyDescent="0.25">
      <c r="A179" s="58"/>
      <c r="B179" s="59" t="s">
        <v>72</v>
      </c>
      <c r="C179" s="60" t="s">
        <v>73</v>
      </c>
      <c r="D179" s="61" t="s">
        <v>123</v>
      </c>
      <c r="E179" s="61">
        <v>42521</v>
      </c>
      <c r="F179" s="6">
        <f>843.75+1437.5+112.71</f>
        <v>2393.96</v>
      </c>
      <c r="G179" s="6">
        <v>772.44</v>
      </c>
      <c r="H179" s="6">
        <f t="shared" si="11"/>
        <v>2393.96</v>
      </c>
      <c r="I179" s="6">
        <v>359.09</v>
      </c>
      <c r="J179" s="6"/>
      <c r="K179" s="6">
        <f>G179-I179</f>
        <v>413.35000000000008</v>
      </c>
      <c r="L179" s="7"/>
      <c r="M179" s="7"/>
      <c r="N179" s="10"/>
      <c r="O179" s="11"/>
    </row>
    <row r="180" spans="1:15" ht="15" customHeight="1" x14ac:dyDescent="0.25">
      <c r="A180" s="58"/>
      <c r="B180" s="59" t="s">
        <v>72</v>
      </c>
      <c r="C180" s="60" t="s">
        <v>73</v>
      </c>
      <c r="D180" s="61" t="s">
        <v>125</v>
      </c>
      <c r="E180" s="61">
        <v>42521</v>
      </c>
      <c r="F180" s="6">
        <f>35.9+937.63+567.151+164.45+193.06</f>
        <v>1898.191</v>
      </c>
      <c r="G180" s="6">
        <v>921</v>
      </c>
      <c r="H180" s="6">
        <f t="shared" si="11"/>
        <v>1898.191</v>
      </c>
      <c r="I180" s="6">
        <v>284.73</v>
      </c>
      <c r="J180" s="6"/>
      <c r="K180" s="6">
        <f>G180-I180</f>
        <v>636.27</v>
      </c>
      <c r="L180" s="7"/>
      <c r="M180" s="7"/>
      <c r="N180" s="10"/>
      <c r="O180" s="11"/>
    </row>
    <row r="181" spans="1:15" ht="15" customHeight="1" x14ac:dyDescent="0.25">
      <c r="A181" s="58"/>
      <c r="B181" s="59" t="s">
        <v>21</v>
      </c>
      <c r="C181" s="60" t="s">
        <v>22</v>
      </c>
      <c r="D181" s="61" t="s">
        <v>134</v>
      </c>
      <c r="E181" s="61">
        <v>42522</v>
      </c>
      <c r="F181" s="6">
        <f>1744.41+1620.14+1689.96+38.96+1103.28</f>
        <v>6196.75</v>
      </c>
      <c r="G181" s="6">
        <v>492.88</v>
      </c>
      <c r="H181" s="6">
        <f t="shared" si="11"/>
        <v>6196.75</v>
      </c>
      <c r="I181" s="6">
        <v>492.88</v>
      </c>
      <c r="J181" s="6"/>
      <c r="K181" s="6">
        <f>G181-I181</f>
        <v>0</v>
      </c>
      <c r="L181" s="7"/>
      <c r="M181" s="7"/>
      <c r="N181" s="10"/>
      <c r="O181" s="11"/>
    </row>
    <row r="182" spans="1:15" ht="15" customHeight="1" x14ac:dyDescent="0.25">
      <c r="A182" s="58"/>
      <c r="B182" s="59" t="s">
        <v>58</v>
      </c>
      <c r="C182" s="60" t="s">
        <v>59</v>
      </c>
      <c r="D182" s="61" t="s">
        <v>134</v>
      </c>
      <c r="E182" s="61">
        <v>42522</v>
      </c>
      <c r="F182" s="6">
        <f>728+45+1582.5+405</f>
        <v>2760.5</v>
      </c>
      <c r="G182" s="6">
        <v>2243.75</v>
      </c>
      <c r="H182" s="6">
        <f t="shared" si="11"/>
        <v>2760.5</v>
      </c>
      <c r="I182" s="6">
        <v>414.08</v>
      </c>
      <c r="J182" s="6"/>
      <c r="K182" s="6">
        <f>G182-I182</f>
        <v>1829.67</v>
      </c>
      <c r="L182" s="7"/>
      <c r="M182" s="7"/>
      <c r="N182" s="10"/>
      <c r="O182" s="11"/>
    </row>
    <row r="183" spans="1:15" ht="15" customHeight="1" x14ac:dyDescent="0.25">
      <c r="A183" s="58"/>
      <c r="B183" s="59" t="s">
        <v>54</v>
      </c>
      <c r="C183" s="60" t="s">
        <v>55</v>
      </c>
      <c r="D183" s="61" t="s">
        <v>134</v>
      </c>
      <c r="E183" s="61">
        <v>42518</v>
      </c>
      <c r="F183" s="6">
        <f>852.4+3921.49+2092.28+565.88</f>
        <v>7432.05</v>
      </c>
      <c r="G183" s="6">
        <v>1045.79</v>
      </c>
      <c r="H183" s="6">
        <f t="shared" si="11"/>
        <v>7432.05</v>
      </c>
      <c r="I183" s="6">
        <f>G183</f>
        <v>1045.79</v>
      </c>
      <c r="J183" s="6"/>
      <c r="K183" s="6"/>
      <c r="L183" s="7"/>
      <c r="M183" s="7"/>
      <c r="N183" s="10"/>
      <c r="O183" s="11"/>
    </row>
    <row r="184" spans="1:15" ht="15" customHeight="1" x14ac:dyDescent="0.25">
      <c r="A184" s="58"/>
      <c r="B184" s="59" t="s">
        <v>135</v>
      </c>
      <c r="C184" s="60" t="s">
        <v>86</v>
      </c>
      <c r="D184" s="61" t="s">
        <v>126</v>
      </c>
      <c r="E184" s="61">
        <v>42527</v>
      </c>
      <c r="F184" s="6">
        <f>6829.67+28640.02+19487.99+1018.29</f>
        <v>55975.970000000008</v>
      </c>
      <c r="G184" s="6">
        <v>8711.2099999999991</v>
      </c>
      <c r="H184" s="6">
        <f>F184</f>
        <v>55975.970000000008</v>
      </c>
      <c r="I184" s="6">
        <v>8396.4</v>
      </c>
      <c r="J184" s="6"/>
      <c r="K184" s="6">
        <f>G184-I184</f>
        <v>314.80999999999949</v>
      </c>
      <c r="L184" s="7"/>
      <c r="M184" s="7"/>
      <c r="N184" s="10"/>
      <c r="O184" s="11"/>
    </row>
    <row r="185" spans="1:15" ht="15" customHeight="1" x14ac:dyDescent="0.25">
      <c r="A185" s="58"/>
      <c r="B185" s="59" t="s">
        <v>79</v>
      </c>
      <c r="C185" s="60" t="s">
        <v>80</v>
      </c>
      <c r="D185" s="61" t="s">
        <v>136</v>
      </c>
      <c r="E185" s="61">
        <v>42530</v>
      </c>
      <c r="F185" s="6">
        <f>6316.25+12058.98+13607.83+33.75+1182.55</f>
        <v>33199.360000000001</v>
      </c>
      <c r="G185" s="6">
        <v>9706.6299999999992</v>
      </c>
      <c r="H185" s="6">
        <f t="shared" ref="H185:H212" si="12">F185</f>
        <v>33199.360000000001</v>
      </c>
      <c r="I185" s="6">
        <v>4979.8999999999996</v>
      </c>
      <c r="J185" s="6"/>
      <c r="K185" s="6">
        <f>G185-I185</f>
        <v>4726.7299999999996</v>
      </c>
      <c r="L185" s="7"/>
      <c r="M185" s="7"/>
      <c r="N185" s="10"/>
      <c r="O185" s="11"/>
    </row>
    <row r="186" spans="1:15" ht="15" customHeight="1" x14ac:dyDescent="0.25">
      <c r="A186" s="58"/>
      <c r="B186" s="59" t="s">
        <v>54</v>
      </c>
      <c r="C186" s="60" t="s">
        <v>55</v>
      </c>
      <c r="D186" s="61" t="s">
        <v>136</v>
      </c>
      <c r="E186" s="61">
        <v>42530</v>
      </c>
      <c r="F186" s="6">
        <f>278.16+8242.67+6282.88+485.82</f>
        <v>15289.529999999999</v>
      </c>
      <c r="G186" s="6">
        <v>973.49</v>
      </c>
      <c r="H186" s="6">
        <f t="shared" si="12"/>
        <v>15289.529999999999</v>
      </c>
      <c r="I186" s="6">
        <f>G186</f>
        <v>973.49</v>
      </c>
      <c r="J186" s="6"/>
      <c r="K186" s="6"/>
      <c r="L186" s="7"/>
      <c r="M186" s="7"/>
      <c r="N186" s="10"/>
      <c r="O186" s="11"/>
    </row>
    <row r="187" spans="1:15" ht="15" customHeight="1" x14ac:dyDescent="0.25">
      <c r="A187" s="58"/>
      <c r="B187" s="59" t="s">
        <v>72</v>
      </c>
      <c r="C187" s="60" t="s">
        <v>73</v>
      </c>
      <c r="D187" s="61" t="s">
        <v>128</v>
      </c>
      <c r="E187" s="61">
        <v>42530</v>
      </c>
      <c r="F187" s="6">
        <f>17.95+13.46+194+910.83</f>
        <v>1136.24</v>
      </c>
      <c r="G187" s="6">
        <v>2949.11</v>
      </c>
      <c r="H187" s="6">
        <f t="shared" si="12"/>
        <v>1136.24</v>
      </c>
      <c r="I187" s="6">
        <v>170.44</v>
      </c>
      <c r="J187" s="6"/>
      <c r="K187" s="6">
        <f>G187-I187</f>
        <v>2778.67</v>
      </c>
      <c r="L187" s="7"/>
      <c r="M187" s="7"/>
      <c r="N187" s="10"/>
      <c r="O187" s="11"/>
    </row>
    <row r="188" spans="1:15" ht="15" customHeight="1" x14ac:dyDescent="0.25">
      <c r="A188" s="58"/>
      <c r="B188" s="59" t="s">
        <v>72</v>
      </c>
      <c r="C188" s="60" t="s">
        <v>73</v>
      </c>
      <c r="D188" s="61" t="s">
        <v>130</v>
      </c>
      <c r="E188" s="61">
        <v>42530</v>
      </c>
      <c r="F188" s="6">
        <f>62.83+2241.74+531.25+13.46+718.27</f>
        <v>3567.5499999999997</v>
      </c>
      <c r="G188" s="6">
        <v>4321.43</v>
      </c>
      <c r="H188" s="6">
        <f t="shared" si="12"/>
        <v>3567.5499999999997</v>
      </c>
      <c r="I188" s="6">
        <v>535.13</v>
      </c>
      <c r="J188" s="6"/>
      <c r="K188" s="6">
        <f t="shared" ref="K188:K190" si="13">G188-I188</f>
        <v>3786.3</v>
      </c>
      <c r="L188" s="7"/>
      <c r="M188" s="7"/>
      <c r="N188" s="10"/>
      <c r="O188" s="11"/>
    </row>
    <row r="189" spans="1:15" s="73" customFormat="1" ht="15" customHeight="1" x14ac:dyDescent="0.25">
      <c r="A189" s="65"/>
      <c r="B189" s="66" t="s">
        <v>72</v>
      </c>
      <c r="C189" s="67" t="s">
        <v>73</v>
      </c>
      <c r="D189" s="68" t="s">
        <v>131</v>
      </c>
      <c r="E189" s="68">
        <v>42530</v>
      </c>
      <c r="F189" s="69">
        <f>35.9+67.32+25.9+1850.5</f>
        <v>1979.62</v>
      </c>
      <c r="G189" s="69">
        <v>710.57</v>
      </c>
      <c r="H189" s="69">
        <f t="shared" si="12"/>
        <v>1979.62</v>
      </c>
      <c r="I189" s="69">
        <v>296.94</v>
      </c>
      <c r="J189" s="69"/>
      <c r="K189" s="69">
        <f t="shared" si="13"/>
        <v>413.63000000000005</v>
      </c>
      <c r="L189" s="70"/>
      <c r="M189" s="70"/>
      <c r="N189" s="71"/>
      <c r="O189" s="72"/>
    </row>
    <row r="190" spans="1:15" ht="15" customHeight="1" x14ac:dyDescent="0.25">
      <c r="A190" s="58"/>
      <c r="B190" s="59" t="s">
        <v>72</v>
      </c>
      <c r="C190" s="60" t="s">
        <v>73</v>
      </c>
      <c r="D190" s="61" t="s">
        <v>134</v>
      </c>
      <c r="E190" s="61">
        <v>42535</v>
      </c>
      <c r="F190" s="6">
        <f>886.54+531.25+5795.45+1106.21</f>
        <v>8319.4500000000007</v>
      </c>
      <c r="G190" s="6">
        <v>1549</v>
      </c>
      <c r="H190" s="6">
        <f t="shared" si="12"/>
        <v>8319.4500000000007</v>
      </c>
      <c r="I190" s="6">
        <v>1247.92</v>
      </c>
      <c r="J190" s="6"/>
      <c r="K190" s="6">
        <f t="shared" si="13"/>
        <v>301.07999999999993</v>
      </c>
      <c r="L190" s="7"/>
      <c r="M190" s="7"/>
      <c r="N190" s="10"/>
      <c r="O190" s="11"/>
    </row>
    <row r="191" spans="1:15" ht="15" customHeight="1" x14ac:dyDescent="0.25">
      <c r="A191" s="58"/>
      <c r="B191" s="59" t="s">
        <v>72</v>
      </c>
      <c r="C191" s="60" t="s">
        <v>73</v>
      </c>
      <c r="D191" s="61" t="s">
        <v>136</v>
      </c>
      <c r="E191" s="61">
        <v>42536</v>
      </c>
      <c r="F191" s="6">
        <f>1810.51+1250+1145.48+6207.84</f>
        <v>10413.83</v>
      </c>
      <c r="G191" s="6">
        <v>1226.56</v>
      </c>
      <c r="H191" s="6">
        <f t="shared" si="12"/>
        <v>10413.83</v>
      </c>
      <c r="I191" s="6">
        <f>G191</f>
        <v>1226.56</v>
      </c>
      <c r="J191" s="6"/>
      <c r="K191" s="6"/>
      <c r="L191" s="7"/>
      <c r="M191" s="7"/>
      <c r="N191" s="10"/>
      <c r="O191" s="11"/>
    </row>
    <row r="192" spans="1:15" ht="15" customHeight="1" x14ac:dyDescent="0.25">
      <c r="A192" s="58"/>
      <c r="B192" s="59" t="s">
        <v>21</v>
      </c>
      <c r="C192" s="60" t="s">
        <v>22</v>
      </c>
      <c r="D192" s="61" t="s">
        <v>136</v>
      </c>
      <c r="E192" s="61">
        <v>42536</v>
      </c>
      <c r="F192" s="6">
        <f>202.89+393.77+1242.25+1432.56</f>
        <v>3271.47</v>
      </c>
      <c r="G192" s="6">
        <v>147.86000000000001</v>
      </c>
      <c r="H192" s="6">
        <f t="shared" si="12"/>
        <v>3271.47</v>
      </c>
      <c r="I192" s="6">
        <v>147.86000000000001</v>
      </c>
      <c r="J192" s="6"/>
      <c r="K192" s="6">
        <f>G192-I192</f>
        <v>0</v>
      </c>
      <c r="L192" s="7"/>
      <c r="M192" s="7"/>
      <c r="N192" s="10"/>
      <c r="O192" s="11"/>
    </row>
    <row r="193" spans="1:15" ht="15" customHeight="1" x14ac:dyDescent="0.25">
      <c r="A193" s="58"/>
      <c r="B193" s="59" t="s">
        <v>40</v>
      </c>
      <c r="C193" s="60" t="s">
        <v>41</v>
      </c>
      <c r="D193" s="61" t="s">
        <v>134</v>
      </c>
      <c r="E193" s="61">
        <v>42536</v>
      </c>
      <c r="F193" s="6">
        <f>1124.83+35826.55+6442.18+2550.05</f>
        <v>45943.610000000008</v>
      </c>
      <c r="G193" s="6">
        <v>3714.36</v>
      </c>
      <c r="H193" s="6">
        <f t="shared" si="12"/>
        <v>45943.610000000008</v>
      </c>
      <c r="I193" s="6">
        <f>G193</f>
        <v>3714.36</v>
      </c>
      <c r="J193" s="6"/>
      <c r="K193" s="6"/>
      <c r="L193" s="7"/>
      <c r="M193" s="7"/>
      <c r="N193" s="10"/>
      <c r="O193" s="11"/>
    </row>
    <row r="194" spans="1:15" ht="15" customHeight="1" x14ac:dyDescent="0.25">
      <c r="A194" s="58"/>
      <c r="B194" s="59" t="s">
        <v>137</v>
      </c>
      <c r="C194" s="60" t="s">
        <v>97</v>
      </c>
      <c r="D194" s="61" t="s">
        <v>132</v>
      </c>
      <c r="E194" s="61">
        <v>42489</v>
      </c>
      <c r="F194" s="6">
        <v>7900.4</v>
      </c>
      <c r="G194" s="6">
        <v>10665.96</v>
      </c>
      <c r="H194" s="6">
        <f t="shared" si="12"/>
        <v>7900.4</v>
      </c>
      <c r="I194" s="6">
        <v>7463.89</v>
      </c>
      <c r="J194" s="6"/>
      <c r="K194" s="79">
        <v>3202.07</v>
      </c>
      <c r="L194" s="7"/>
      <c r="M194" s="7"/>
      <c r="N194" s="10"/>
      <c r="O194" s="11"/>
    </row>
    <row r="195" spans="1:15" ht="15" customHeight="1" x14ac:dyDescent="0.25">
      <c r="A195" s="58"/>
      <c r="B195" s="59" t="s">
        <v>66</v>
      </c>
      <c r="C195" s="60" t="s">
        <v>67</v>
      </c>
      <c r="D195" s="61" t="s">
        <v>136</v>
      </c>
      <c r="E195" s="61">
        <v>42545</v>
      </c>
      <c r="F195" s="6">
        <f>418.55+19837.12+2716.76</f>
        <v>22972.43</v>
      </c>
      <c r="G195" s="6">
        <v>0</v>
      </c>
      <c r="H195" s="6">
        <f t="shared" si="12"/>
        <v>22972.43</v>
      </c>
      <c r="I195" s="6">
        <v>0</v>
      </c>
      <c r="J195" s="6"/>
      <c r="K195" s="6"/>
      <c r="L195" s="7"/>
      <c r="M195" s="7"/>
      <c r="N195" s="10"/>
      <c r="O195" s="11"/>
    </row>
    <row r="196" spans="1:15" ht="15" customHeight="1" x14ac:dyDescent="0.25">
      <c r="A196" s="58"/>
      <c r="B196" s="59" t="s">
        <v>66</v>
      </c>
      <c r="C196" s="60" t="s">
        <v>67</v>
      </c>
      <c r="D196" s="61" t="s">
        <v>134</v>
      </c>
      <c r="E196" s="61">
        <v>42550</v>
      </c>
      <c r="F196" s="6">
        <f>1001.53+6372.65+5269.94</f>
        <v>12644.119999999999</v>
      </c>
      <c r="G196" s="6">
        <v>0</v>
      </c>
      <c r="H196" s="6">
        <f t="shared" si="12"/>
        <v>12644.119999999999</v>
      </c>
      <c r="I196" s="6">
        <v>0</v>
      </c>
      <c r="J196" s="6"/>
      <c r="K196" s="6"/>
      <c r="L196" s="7"/>
      <c r="M196" s="7"/>
      <c r="N196" s="10"/>
      <c r="O196" s="11"/>
    </row>
    <row r="197" spans="1:15" ht="15" customHeight="1" x14ac:dyDescent="0.25">
      <c r="A197" s="58"/>
      <c r="B197" s="59" t="s">
        <v>58</v>
      </c>
      <c r="C197" s="60" t="s">
        <v>59</v>
      </c>
      <c r="D197" s="61" t="s">
        <v>136</v>
      </c>
      <c r="E197" s="61">
        <v>42551</v>
      </c>
      <c r="F197" s="6">
        <f>1621+5072.93+2987.98+262.5</f>
        <v>9944.41</v>
      </c>
      <c r="G197" s="6">
        <v>3071.43</v>
      </c>
      <c r="H197" s="6">
        <f t="shared" si="12"/>
        <v>9944.41</v>
      </c>
      <c r="I197" s="6">
        <v>1491.66</v>
      </c>
      <c r="J197" s="6"/>
      <c r="K197" s="6">
        <f>G197-I197</f>
        <v>1579.7699999999998</v>
      </c>
      <c r="L197" s="7"/>
      <c r="M197" s="7"/>
      <c r="N197" s="10"/>
      <c r="O197" s="11"/>
    </row>
    <row r="198" spans="1:15" ht="15" customHeight="1" x14ac:dyDescent="0.25">
      <c r="A198" s="58"/>
      <c r="B198" s="59" t="s">
        <v>21</v>
      </c>
      <c r="C198" s="60" t="s">
        <v>22</v>
      </c>
      <c r="D198" s="61" t="s">
        <v>138</v>
      </c>
      <c r="E198" s="61">
        <v>42558</v>
      </c>
      <c r="F198" s="6">
        <f>101.13+9.98+2629.08+942.22</f>
        <v>3682.41</v>
      </c>
      <c r="G198" s="6">
        <v>552.02</v>
      </c>
      <c r="H198" s="6">
        <f t="shared" si="12"/>
        <v>3682.41</v>
      </c>
      <c r="I198" s="6">
        <f>G198</f>
        <v>552.02</v>
      </c>
      <c r="J198" s="6"/>
      <c r="K198" s="6"/>
      <c r="L198" s="7"/>
      <c r="M198" s="7"/>
      <c r="N198" s="10"/>
      <c r="O198" s="11"/>
    </row>
    <row r="199" spans="1:15" ht="15" customHeight="1" x14ac:dyDescent="0.25">
      <c r="A199" s="58"/>
      <c r="B199" s="59" t="s">
        <v>83</v>
      </c>
      <c r="C199" s="60" t="s">
        <v>84</v>
      </c>
      <c r="D199" s="61" t="s">
        <v>139</v>
      </c>
      <c r="E199" s="61">
        <v>42558</v>
      </c>
      <c r="F199" s="6">
        <f>655+3822.83+2252.5+4342.31+8693.15</f>
        <v>19765.79</v>
      </c>
      <c r="G199" s="6">
        <v>2964.86</v>
      </c>
      <c r="H199" s="6">
        <f t="shared" si="12"/>
        <v>19765.79</v>
      </c>
      <c r="I199" s="6">
        <f>2964.86</f>
        <v>2964.86</v>
      </c>
      <c r="J199" s="6"/>
      <c r="K199" s="6"/>
      <c r="L199" s="7"/>
      <c r="M199" s="7"/>
      <c r="N199" s="10"/>
      <c r="O199" s="11"/>
    </row>
    <row r="200" spans="1:15" ht="15" customHeight="1" x14ac:dyDescent="0.25">
      <c r="A200" s="58"/>
      <c r="B200" s="59" t="s">
        <v>54</v>
      </c>
      <c r="C200" s="60" t="s">
        <v>55</v>
      </c>
      <c r="D200" s="61" t="s">
        <v>138</v>
      </c>
      <c r="E200" s="61">
        <v>42559</v>
      </c>
      <c r="F200" s="6">
        <f>1390.33+8318.98+7184.78+72.96-410</f>
        <v>16557.05</v>
      </c>
      <c r="G200" s="6">
        <v>1460.23</v>
      </c>
      <c r="H200" s="6">
        <f t="shared" si="12"/>
        <v>16557.05</v>
      </c>
      <c r="I200" s="6">
        <f>G200</f>
        <v>1460.23</v>
      </c>
      <c r="J200" s="6"/>
      <c r="K200" s="6"/>
      <c r="L200" s="7"/>
      <c r="M200" s="7"/>
      <c r="N200" s="10"/>
      <c r="O200" s="11"/>
    </row>
    <row r="201" spans="1:15" ht="15" customHeight="1" x14ac:dyDescent="0.25">
      <c r="A201" s="58"/>
      <c r="B201" s="59" t="s">
        <v>68</v>
      </c>
      <c r="C201" s="60" t="s">
        <v>69</v>
      </c>
      <c r="D201" s="61" t="s">
        <v>132</v>
      </c>
      <c r="E201" s="61">
        <v>42564</v>
      </c>
      <c r="F201" s="6">
        <f>424.96+1654.17+226+1171.42</f>
        <v>3476.55</v>
      </c>
      <c r="G201" s="6">
        <v>620.5</v>
      </c>
      <c r="H201" s="6">
        <f t="shared" si="12"/>
        <v>3476.55</v>
      </c>
      <c r="I201" s="6">
        <f>G201</f>
        <v>620.5</v>
      </c>
      <c r="J201" s="6"/>
      <c r="K201" s="6"/>
      <c r="L201" s="7"/>
      <c r="M201" s="7"/>
      <c r="N201" s="10"/>
      <c r="O201" s="11"/>
    </row>
    <row r="202" spans="1:15" ht="15" customHeight="1" x14ac:dyDescent="0.25">
      <c r="A202" s="58"/>
      <c r="B202" s="59" t="s">
        <v>70</v>
      </c>
      <c r="C202" s="60" t="s">
        <v>71</v>
      </c>
      <c r="D202" s="61" t="s">
        <v>139</v>
      </c>
      <c r="E202" s="61">
        <v>42564</v>
      </c>
      <c r="F202" s="6">
        <f>2766.4+893.96</f>
        <v>3660.36</v>
      </c>
      <c r="G202" s="6">
        <v>367.88</v>
      </c>
      <c r="H202" s="63">
        <f t="shared" si="12"/>
        <v>3660.36</v>
      </c>
      <c r="I202" s="6">
        <f>G202</f>
        <v>367.88</v>
      </c>
      <c r="J202" s="6"/>
      <c r="K202" s="6"/>
      <c r="L202" s="7"/>
      <c r="M202" s="7"/>
      <c r="N202" s="10"/>
      <c r="O202" s="11"/>
    </row>
    <row r="203" spans="1:15" ht="15" customHeight="1" x14ac:dyDescent="0.25">
      <c r="A203" s="58"/>
      <c r="B203" s="59" t="s">
        <v>66</v>
      </c>
      <c r="C203" s="60" t="s">
        <v>67</v>
      </c>
      <c r="D203" s="61" t="s">
        <v>138</v>
      </c>
      <c r="E203" s="61">
        <v>42566</v>
      </c>
      <c r="F203" s="6">
        <f>134.18+5018.75+3525.08</f>
        <v>8678.01</v>
      </c>
      <c r="G203" s="6">
        <v>0</v>
      </c>
      <c r="H203" s="6">
        <f t="shared" si="12"/>
        <v>8678.01</v>
      </c>
      <c r="I203" s="6"/>
      <c r="J203" s="6"/>
      <c r="K203" s="6"/>
      <c r="L203" s="7"/>
      <c r="M203" s="7"/>
      <c r="N203" s="10"/>
      <c r="O203" s="11"/>
    </row>
    <row r="204" spans="1:15" ht="15" customHeight="1" x14ac:dyDescent="0.25">
      <c r="A204" s="58"/>
      <c r="B204" s="59" t="s">
        <v>127</v>
      </c>
      <c r="C204" s="60" t="s">
        <v>51</v>
      </c>
      <c r="D204" s="61" t="s">
        <v>140</v>
      </c>
      <c r="E204" s="61">
        <v>42566</v>
      </c>
      <c r="F204" s="6">
        <f>7659.32+78743.36+10120.28+15144.36+1287.85</f>
        <v>112955.17</v>
      </c>
      <c r="G204" s="6">
        <v>12329.58</v>
      </c>
      <c r="H204" s="6">
        <f t="shared" si="12"/>
        <v>112955.17</v>
      </c>
      <c r="I204" s="6">
        <f>G204</f>
        <v>12329.58</v>
      </c>
      <c r="J204" s="6"/>
      <c r="K204" s="6"/>
      <c r="L204" s="7"/>
      <c r="M204" s="7"/>
      <c r="N204" s="10"/>
      <c r="O204" s="11"/>
    </row>
    <row r="205" spans="1:15" ht="15" customHeight="1" x14ac:dyDescent="0.25">
      <c r="A205" s="58"/>
      <c r="B205" s="59" t="s">
        <v>79</v>
      </c>
      <c r="C205" s="60" t="s">
        <v>80</v>
      </c>
      <c r="D205" s="61" t="s">
        <v>138</v>
      </c>
      <c r="E205" s="61">
        <v>42570</v>
      </c>
      <c r="F205" s="6">
        <f>547.43+21091.17+15697.43+13465.82+767.4</f>
        <v>51569.25</v>
      </c>
      <c r="G205" s="6">
        <v>8179.03</v>
      </c>
      <c r="H205" s="6">
        <f t="shared" si="12"/>
        <v>51569.25</v>
      </c>
      <c r="I205" s="6">
        <v>7735.39</v>
      </c>
      <c r="J205" s="6"/>
      <c r="K205" s="6">
        <f>G205-I205</f>
        <v>443.63999999999942</v>
      </c>
      <c r="L205" s="7"/>
      <c r="M205" s="7"/>
      <c r="N205" s="10"/>
      <c r="O205" s="11"/>
    </row>
    <row r="206" spans="1:15" ht="15" customHeight="1" x14ac:dyDescent="0.25">
      <c r="A206" s="58"/>
      <c r="B206" s="59" t="s">
        <v>90</v>
      </c>
      <c r="C206" s="60" t="s">
        <v>91</v>
      </c>
      <c r="D206" s="61" t="s">
        <v>140</v>
      </c>
      <c r="E206" s="61">
        <v>42572</v>
      </c>
      <c r="F206" s="6">
        <f>378.86+3016.94+5175+8687.04+20435.27</f>
        <v>37693.11</v>
      </c>
      <c r="G206" s="6">
        <v>0</v>
      </c>
      <c r="H206" s="6">
        <f t="shared" si="12"/>
        <v>37693.11</v>
      </c>
      <c r="I206" s="6">
        <v>0</v>
      </c>
      <c r="J206" s="6"/>
      <c r="K206" s="6"/>
      <c r="L206" s="7"/>
      <c r="M206" s="7"/>
      <c r="N206" s="10"/>
      <c r="O206" s="11"/>
    </row>
    <row r="207" spans="1:15" ht="15" customHeight="1" x14ac:dyDescent="0.25">
      <c r="A207" s="58"/>
      <c r="B207" s="59" t="s">
        <v>42</v>
      </c>
      <c r="C207" s="60" t="s">
        <v>43</v>
      </c>
      <c r="D207" s="61" t="s">
        <v>139</v>
      </c>
      <c r="E207" s="61">
        <v>42572</v>
      </c>
      <c r="F207" s="6">
        <f>6662.38+3469.44+1867+1185</f>
        <v>13183.82</v>
      </c>
      <c r="G207" s="6">
        <v>6068.93</v>
      </c>
      <c r="H207" s="6">
        <f t="shared" si="12"/>
        <v>13183.82</v>
      </c>
      <c r="I207" s="6">
        <v>1977.57</v>
      </c>
      <c r="J207" s="6"/>
      <c r="K207" s="6">
        <f>G207-I207</f>
        <v>4091.3600000000006</v>
      </c>
      <c r="L207" s="7"/>
      <c r="M207" s="7"/>
      <c r="N207" s="10"/>
      <c r="O207" s="11"/>
    </row>
    <row r="208" spans="1:15" ht="15" customHeight="1" x14ac:dyDescent="0.25">
      <c r="A208" s="58"/>
      <c r="B208" s="59" t="s">
        <v>42</v>
      </c>
      <c r="C208" s="60" t="s">
        <v>44</v>
      </c>
      <c r="D208" s="61" t="s">
        <v>139</v>
      </c>
      <c r="E208" s="61">
        <v>42572</v>
      </c>
      <c r="F208" s="6">
        <f>7817.97+10409.18+19515.36+110</f>
        <v>37852.51</v>
      </c>
      <c r="G208" s="6">
        <v>24510</v>
      </c>
      <c r="H208" s="6">
        <f t="shared" si="12"/>
        <v>37852.51</v>
      </c>
      <c r="I208" s="6">
        <f>5677.88</f>
        <v>5677.88</v>
      </c>
      <c r="J208" s="6"/>
      <c r="K208" s="6">
        <f>G208-I208</f>
        <v>18832.12</v>
      </c>
      <c r="L208" s="7"/>
      <c r="M208" s="7"/>
      <c r="N208" s="10"/>
      <c r="O208" s="11"/>
    </row>
    <row r="209" spans="1:15" ht="15" customHeight="1" x14ac:dyDescent="0.25">
      <c r="A209" s="58"/>
      <c r="B209" s="59" t="s">
        <v>42</v>
      </c>
      <c r="C209" s="60" t="s">
        <v>78</v>
      </c>
      <c r="D209" s="61" t="s">
        <v>139</v>
      </c>
      <c r="E209" s="61">
        <v>42572</v>
      </c>
      <c r="F209" s="6">
        <f>6233.29+37042.35+22886.48+1193.13+2280.43</f>
        <v>69635.679999999993</v>
      </c>
      <c r="G209" s="6">
        <v>29160.75</v>
      </c>
      <c r="H209" s="6">
        <f t="shared" si="12"/>
        <v>69635.679999999993</v>
      </c>
      <c r="I209" s="76">
        <v>10445.35</v>
      </c>
      <c r="J209" s="6"/>
      <c r="K209" s="6">
        <f>G209-I209</f>
        <v>18715.400000000001</v>
      </c>
      <c r="L209" s="7"/>
      <c r="M209" s="7"/>
      <c r="N209" s="10"/>
      <c r="O209" s="11"/>
    </row>
    <row r="210" spans="1:15" ht="15" customHeight="1" x14ac:dyDescent="0.25">
      <c r="A210" s="58"/>
      <c r="B210" s="59" t="s">
        <v>38</v>
      </c>
      <c r="C210" s="60" t="s">
        <v>39</v>
      </c>
      <c r="D210" s="61" t="s">
        <v>139</v>
      </c>
      <c r="E210" s="61">
        <v>42573</v>
      </c>
      <c r="F210" s="6">
        <f>3017.52+30218.67+26601.06+616.42</f>
        <v>60453.67</v>
      </c>
      <c r="G210" s="6">
        <v>18088.39</v>
      </c>
      <c r="H210" s="6">
        <f t="shared" si="12"/>
        <v>60453.67</v>
      </c>
      <c r="I210" s="6">
        <v>9068.0499999999993</v>
      </c>
      <c r="J210" s="6"/>
      <c r="K210" s="6">
        <f>G210-I210</f>
        <v>9020.34</v>
      </c>
      <c r="L210" s="7"/>
      <c r="M210" s="7"/>
      <c r="N210" s="10"/>
      <c r="O210" s="11"/>
    </row>
    <row r="211" spans="1:15" ht="15" customHeight="1" x14ac:dyDescent="0.25">
      <c r="A211" s="58"/>
      <c r="B211" s="59" t="s">
        <v>32</v>
      </c>
      <c r="C211" s="60" t="s">
        <v>33</v>
      </c>
      <c r="D211" s="61" t="s">
        <v>139</v>
      </c>
      <c r="E211" s="61">
        <v>42578</v>
      </c>
      <c r="F211" s="6">
        <f>1125.49+4383.44+4752.95+14314.66+1244.44</f>
        <v>25820.98</v>
      </c>
      <c r="G211" s="6">
        <v>4437.13</v>
      </c>
      <c r="H211" s="6">
        <f t="shared" si="12"/>
        <v>25820.98</v>
      </c>
      <c r="I211" s="76">
        <v>4325.76</v>
      </c>
      <c r="J211" s="6"/>
      <c r="K211" s="6"/>
      <c r="L211" s="7"/>
      <c r="M211" s="7"/>
      <c r="N211" s="10"/>
      <c r="O211" s="11"/>
    </row>
    <row r="212" spans="1:15" ht="15" customHeight="1" x14ac:dyDescent="0.25">
      <c r="A212" s="58"/>
      <c r="B212" s="59" t="s">
        <v>81</v>
      </c>
      <c r="C212" s="60" t="s">
        <v>82</v>
      </c>
      <c r="D212" s="61" t="s">
        <v>139</v>
      </c>
      <c r="E212" s="61">
        <v>42579</v>
      </c>
      <c r="F212" s="6">
        <f>1319.13+18723.84+3893.28</f>
        <v>23936.25</v>
      </c>
      <c r="G212" s="6">
        <v>3229.18</v>
      </c>
      <c r="H212" s="6">
        <f t="shared" si="12"/>
        <v>23936.25</v>
      </c>
      <c r="I212" s="6">
        <f>G212</f>
        <v>3229.18</v>
      </c>
      <c r="J212" s="6"/>
      <c r="K212" s="6"/>
      <c r="L212" s="7"/>
      <c r="M212" s="7"/>
      <c r="N212" s="10"/>
      <c r="O212" s="11"/>
    </row>
    <row r="213" spans="1:15" ht="15" customHeight="1" x14ac:dyDescent="0.25">
      <c r="A213" s="58"/>
      <c r="B213" s="59" t="s">
        <v>40</v>
      </c>
      <c r="C213" s="60" t="s">
        <v>41</v>
      </c>
      <c r="D213" s="61" t="s">
        <v>136</v>
      </c>
      <c r="E213" s="61">
        <v>42577</v>
      </c>
      <c r="F213" s="6">
        <f>2340.32+41044.81+4007.96+2771.2</f>
        <v>50164.289999999994</v>
      </c>
      <c r="G213" s="6">
        <v>2936.35</v>
      </c>
      <c r="H213" s="6">
        <f>F213</f>
        <v>50164.289999999994</v>
      </c>
      <c r="I213" s="6">
        <f>G213</f>
        <v>2936.35</v>
      </c>
      <c r="J213" s="6"/>
      <c r="K213" s="6"/>
      <c r="L213" s="7"/>
      <c r="M213" s="7"/>
      <c r="N213" s="10"/>
      <c r="O213" s="11"/>
    </row>
    <row r="214" spans="1:15" ht="15" customHeight="1" x14ac:dyDescent="0.25">
      <c r="A214" s="58"/>
      <c r="B214" s="59" t="s">
        <v>30</v>
      </c>
      <c r="C214" s="60" t="s">
        <v>31</v>
      </c>
      <c r="D214" s="61" t="s">
        <v>139</v>
      </c>
      <c r="E214" s="61">
        <v>42578</v>
      </c>
      <c r="F214" s="6">
        <f>5565.17+17216.84+17162.71+4908.24</f>
        <v>44852.959999999999</v>
      </c>
      <c r="G214" s="6">
        <v>8098.44</v>
      </c>
      <c r="H214" s="6">
        <f t="shared" ref="H214:H221" si="14">F214</f>
        <v>44852.959999999999</v>
      </c>
      <c r="I214" s="6">
        <v>6938.97</v>
      </c>
      <c r="J214" s="6"/>
      <c r="K214" s="6">
        <f>G214-I214</f>
        <v>1159.4699999999993</v>
      </c>
      <c r="L214" s="7"/>
      <c r="M214" s="7"/>
      <c r="N214" s="10"/>
      <c r="O214" s="11"/>
    </row>
    <row r="215" spans="1:15" ht="15" customHeight="1" x14ac:dyDescent="0.25">
      <c r="A215" s="58"/>
      <c r="B215" s="59" t="s">
        <v>47</v>
      </c>
      <c r="C215" s="60" t="s">
        <v>48</v>
      </c>
      <c r="D215" s="61" t="s">
        <v>139</v>
      </c>
      <c r="E215" s="61">
        <v>42578</v>
      </c>
      <c r="F215" s="6">
        <f>2124.43+8748.99+25385.37+836.67</f>
        <v>37095.46</v>
      </c>
      <c r="G215" s="6">
        <v>5726.35</v>
      </c>
      <c r="H215" s="6">
        <f t="shared" si="14"/>
        <v>37095.46</v>
      </c>
      <c r="I215" s="6">
        <v>5564.32</v>
      </c>
      <c r="J215" s="6"/>
      <c r="K215" s="6">
        <f>G215-I215</f>
        <v>162.03000000000065</v>
      </c>
      <c r="L215" s="7"/>
      <c r="M215" s="7"/>
      <c r="N215" s="10"/>
      <c r="O215" s="11"/>
    </row>
    <row r="216" spans="1:15" ht="15" customHeight="1" x14ac:dyDescent="0.25">
      <c r="A216" s="58"/>
      <c r="B216" s="59" t="s">
        <v>25</v>
      </c>
      <c r="C216" s="60" t="s">
        <v>26</v>
      </c>
      <c r="D216" s="61" t="s">
        <v>139</v>
      </c>
      <c r="E216" s="61">
        <v>42580</v>
      </c>
      <c r="F216" s="6">
        <f>3301.75+38634.85+9287.5</f>
        <v>51224.1</v>
      </c>
      <c r="G216" s="6">
        <v>6301.92</v>
      </c>
      <c r="H216" s="6">
        <f t="shared" si="14"/>
        <v>51224.1</v>
      </c>
      <c r="I216" s="6">
        <f>G216</f>
        <v>6301.92</v>
      </c>
      <c r="J216" s="6"/>
      <c r="K216" s="6"/>
      <c r="L216" s="7"/>
      <c r="M216" s="7"/>
      <c r="N216" s="10"/>
      <c r="O216" s="11"/>
    </row>
    <row r="217" spans="1:15" ht="15" customHeight="1" x14ac:dyDescent="0.25">
      <c r="A217" s="58"/>
      <c r="B217" s="59" t="s">
        <v>25</v>
      </c>
      <c r="C217" s="60" t="s">
        <v>27</v>
      </c>
      <c r="D217" s="61" t="s">
        <v>139</v>
      </c>
      <c r="E217" s="61">
        <v>42580</v>
      </c>
      <c r="F217" s="6">
        <f>3145.13+33417.64+9567.28+37+10885.57</f>
        <v>57052.619999999995</v>
      </c>
      <c r="G217" s="6">
        <v>8567.58</v>
      </c>
      <c r="H217" s="6">
        <f t="shared" si="14"/>
        <v>57052.619999999995</v>
      </c>
      <c r="I217" s="76">
        <v>8557.89</v>
      </c>
      <c r="J217" s="6"/>
      <c r="K217" s="6"/>
      <c r="L217" s="7"/>
      <c r="M217" s="7"/>
      <c r="N217" s="10"/>
      <c r="O217" s="11"/>
    </row>
    <row r="218" spans="1:15" ht="15" customHeight="1" x14ac:dyDescent="0.25">
      <c r="A218" s="58"/>
      <c r="B218" s="59" t="s">
        <v>25</v>
      </c>
      <c r="C218" s="60" t="s">
        <v>49</v>
      </c>
      <c r="D218" s="61" t="s">
        <v>139</v>
      </c>
      <c r="E218" s="61">
        <v>42580</v>
      </c>
      <c r="F218" s="6">
        <f>942.5+2822.67+4067.34+14769.91</f>
        <v>22602.42</v>
      </c>
      <c r="G218" s="6">
        <v>2360.5300000000002</v>
      </c>
      <c r="H218" s="6">
        <f t="shared" si="14"/>
        <v>22602.42</v>
      </c>
      <c r="I218" s="6">
        <f>G218</f>
        <v>2360.5300000000002</v>
      </c>
      <c r="J218" s="6"/>
      <c r="K218" s="6"/>
      <c r="L218" s="7"/>
      <c r="M218" s="7"/>
      <c r="N218" s="10"/>
      <c r="O218" s="11"/>
    </row>
    <row r="219" spans="1:15" ht="15" customHeight="1" x14ac:dyDescent="0.25">
      <c r="A219" s="58"/>
      <c r="B219" s="59" t="s">
        <v>25</v>
      </c>
      <c r="C219" s="60" t="s">
        <v>56</v>
      </c>
      <c r="D219" s="61" t="s">
        <v>139</v>
      </c>
      <c r="E219" s="61">
        <v>42580</v>
      </c>
      <c r="F219" s="6">
        <f>277.7+7053.93+26221.77+542.4+337.5</f>
        <v>34433.300000000003</v>
      </c>
      <c r="G219" s="6">
        <v>3283.42</v>
      </c>
      <c r="H219" s="6">
        <f t="shared" si="14"/>
        <v>34433.300000000003</v>
      </c>
      <c r="I219" s="6">
        <f>G219</f>
        <v>3283.42</v>
      </c>
      <c r="J219" s="6"/>
      <c r="K219" s="6"/>
      <c r="L219" s="7"/>
      <c r="M219" s="7"/>
      <c r="N219" s="10"/>
      <c r="O219" s="11"/>
    </row>
    <row r="220" spans="1:15" ht="15" customHeight="1" x14ac:dyDescent="0.25">
      <c r="A220" s="58"/>
      <c r="B220" s="59" t="s">
        <v>25</v>
      </c>
      <c r="C220" s="60" t="s">
        <v>57</v>
      </c>
      <c r="D220" s="61" t="s">
        <v>139</v>
      </c>
      <c r="E220" s="61">
        <v>42580</v>
      </c>
      <c r="F220" s="6">
        <f>5288.4+43566.56+16314.21+6528.64</f>
        <v>71697.81</v>
      </c>
      <c r="G220" s="6">
        <v>10625.82</v>
      </c>
      <c r="H220" s="6">
        <f t="shared" si="14"/>
        <v>71697.81</v>
      </c>
      <c r="I220" s="6">
        <f>G220</f>
        <v>10625.82</v>
      </c>
      <c r="J220" s="6"/>
      <c r="K220" s="6"/>
      <c r="L220" s="7"/>
      <c r="M220" s="7"/>
      <c r="N220" s="10"/>
      <c r="O220" s="11"/>
    </row>
    <row r="221" spans="1:15" ht="15" customHeight="1" x14ac:dyDescent="0.25">
      <c r="A221" s="58"/>
      <c r="B221" s="59" t="s">
        <v>25</v>
      </c>
      <c r="C221" s="60" t="s">
        <v>60</v>
      </c>
      <c r="D221" s="61" t="s">
        <v>139</v>
      </c>
      <c r="E221" s="61">
        <v>42580</v>
      </c>
      <c r="F221" s="6">
        <f>5569.82+20235.12+5511.22+19432.81</f>
        <v>50748.97</v>
      </c>
      <c r="G221" s="6">
        <v>7060.08</v>
      </c>
      <c r="H221" s="6">
        <f t="shared" si="14"/>
        <v>50748.97</v>
      </c>
      <c r="I221" s="6">
        <f>G221</f>
        <v>7060.08</v>
      </c>
      <c r="J221" s="6"/>
      <c r="K221" s="6"/>
      <c r="L221" s="7"/>
      <c r="M221" s="7"/>
      <c r="N221" s="10"/>
      <c r="O221" s="11"/>
    </row>
    <row r="222" spans="1:15" ht="15" customHeight="1" x14ac:dyDescent="0.25">
      <c r="A222" s="58"/>
      <c r="B222" s="59" t="s">
        <v>25</v>
      </c>
      <c r="C222" s="60" t="s">
        <v>61</v>
      </c>
      <c r="D222" s="61" t="s">
        <v>139</v>
      </c>
      <c r="E222" s="61">
        <v>42580</v>
      </c>
      <c r="F222" s="6">
        <f>2733.99+30899.55+18674.93+539.55+1607.2</f>
        <v>54455.22</v>
      </c>
      <c r="G222" s="6">
        <v>6938.22</v>
      </c>
      <c r="H222" s="6">
        <f>F222</f>
        <v>54455.22</v>
      </c>
      <c r="I222" s="63">
        <v>6938.22</v>
      </c>
      <c r="J222" s="6"/>
      <c r="K222" s="6"/>
      <c r="L222" s="7"/>
      <c r="M222" s="7"/>
      <c r="N222" s="10"/>
      <c r="O222" s="11"/>
    </row>
    <row r="223" spans="1:15" ht="15" customHeight="1" x14ac:dyDescent="0.25">
      <c r="A223" s="58"/>
      <c r="B223" s="59" t="s">
        <v>25</v>
      </c>
      <c r="C223" s="60" t="s">
        <v>64</v>
      </c>
      <c r="D223" s="61" t="s">
        <v>139</v>
      </c>
      <c r="E223" s="61">
        <v>42580</v>
      </c>
      <c r="F223" s="6">
        <f>973.9+14939.77+8539.12+7338.49</f>
        <v>31791.279999999999</v>
      </c>
      <c r="G223" s="6">
        <v>3113.68</v>
      </c>
      <c r="H223" s="6">
        <f t="shared" ref="H223:I225" si="15">F223</f>
        <v>31791.279999999999</v>
      </c>
      <c r="I223" s="6">
        <f t="shared" si="15"/>
        <v>3113.68</v>
      </c>
      <c r="J223" s="6"/>
      <c r="K223" s="6"/>
      <c r="L223" s="7"/>
      <c r="M223" s="7"/>
      <c r="N223" s="10"/>
      <c r="O223" s="11"/>
    </row>
    <row r="224" spans="1:15" ht="15" customHeight="1" x14ac:dyDescent="0.25">
      <c r="A224" s="58"/>
      <c r="B224" s="59" t="s">
        <v>25</v>
      </c>
      <c r="C224" s="60" t="s">
        <v>65</v>
      </c>
      <c r="D224" s="61" t="s">
        <v>139</v>
      </c>
      <c r="E224" s="61">
        <v>42580</v>
      </c>
      <c r="F224" s="6">
        <f>307.4+3920.73+1611.63+8812.13</f>
        <v>14651.89</v>
      </c>
      <c r="G224" s="6">
        <v>1357.36</v>
      </c>
      <c r="H224" s="6">
        <f t="shared" si="15"/>
        <v>14651.89</v>
      </c>
      <c r="I224" s="6">
        <f t="shared" si="15"/>
        <v>1357.36</v>
      </c>
      <c r="J224" s="6"/>
      <c r="K224" s="6"/>
      <c r="L224" s="7"/>
      <c r="M224" s="7"/>
      <c r="N224" s="10"/>
      <c r="O224" s="11"/>
    </row>
    <row r="225" spans="1:15" ht="15" customHeight="1" x14ac:dyDescent="0.25">
      <c r="A225" s="58"/>
      <c r="B225" s="59" t="s">
        <v>25</v>
      </c>
      <c r="C225" s="60" t="s">
        <v>76</v>
      </c>
      <c r="D225" s="61" t="s">
        <v>139</v>
      </c>
      <c r="E225" s="61">
        <v>42580</v>
      </c>
      <c r="F225" s="6">
        <f>738.09+2132.68+4103.02+29+7137.09</f>
        <v>14139.880000000001</v>
      </c>
      <c r="G225" s="6">
        <v>1296.72</v>
      </c>
      <c r="H225" s="6">
        <f t="shared" si="15"/>
        <v>14139.880000000001</v>
      </c>
      <c r="I225" s="6">
        <f t="shared" si="15"/>
        <v>1296.72</v>
      </c>
      <c r="J225" s="6"/>
      <c r="K225" s="6"/>
      <c r="L225" s="7"/>
      <c r="M225" s="7"/>
      <c r="N225" s="10"/>
      <c r="O225" s="11"/>
    </row>
    <row r="226" spans="1:15" ht="15" customHeight="1" x14ac:dyDescent="0.25">
      <c r="A226" s="58"/>
      <c r="B226" s="59" t="s">
        <v>25</v>
      </c>
      <c r="C226" s="60" t="s">
        <v>77</v>
      </c>
      <c r="D226" s="61" t="s">
        <v>139</v>
      </c>
      <c r="E226" s="61">
        <v>42580</v>
      </c>
      <c r="F226" s="6">
        <f>3482.11+22626.87+8546.4+8914.28</f>
        <v>43569.659999999996</v>
      </c>
      <c r="G226" s="6">
        <v>5481.27</v>
      </c>
      <c r="H226" s="6">
        <f>F226</f>
        <v>43569.659999999996</v>
      </c>
      <c r="I226" s="62">
        <v>5481.27</v>
      </c>
      <c r="J226" s="6"/>
      <c r="K226" s="6"/>
      <c r="L226" s="7"/>
      <c r="M226" s="7"/>
      <c r="N226" s="10"/>
      <c r="O226" s="11"/>
    </row>
    <row r="227" spans="1:15" ht="15" customHeight="1" x14ac:dyDescent="0.25">
      <c r="A227" s="58"/>
      <c r="B227" s="59" t="s">
        <v>25</v>
      </c>
      <c r="C227" s="60" t="s">
        <v>87</v>
      </c>
      <c r="D227" s="61" t="s">
        <v>139</v>
      </c>
      <c r="E227" s="61">
        <v>42580</v>
      </c>
      <c r="F227" s="6">
        <f>593.72+845.86+666.32+9891.61</f>
        <v>11997.51</v>
      </c>
      <c r="G227" s="6">
        <v>1134.82</v>
      </c>
      <c r="H227" s="6">
        <f t="shared" ref="H227:I229" si="16">F227</f>
        <v>11997.51</v>
      </c>
      <c r="I227" s="6">
        <f t="shared" si="16"/>
        <v>1134.82</v>
      </c>
      <c r="J227" s="6"/>
      <c r="K227" s="6"/>
      <c r="L227" s="7"/>
      <c r="M227" s="7"/>
      <c r="N227" s="10"/>
      <c r="O227" s="11"/>
    </row>
    <row r="228" spans="1:15" ht="15" customHeight="1" x14ac:dyDescent="0.25">
      <c r="A228" s="58"/>
      <c r="B228" s="59" t="s">
        <v>25</v>
      </c>
      <c r="C228" s="60" t="s">
        <v>88</v>
      </c>
      <c r="D228" s="61" t="s">
        <v>139</v>
      </c>
      <c r="E228" s="61">
        <v>42580</v>
      </c>
      <c r="F228" s="6">
        <f>1338.34+1437.5+8532.48</f>
        <v>11308.32</v>
      </c>
      <c r="G228" s="6">
        <v>1026.7</v>
      </c>
      <c r="H228" s="6">
        <f t="shared" si="16"/>
        <v>11308.32</v>
      </c>
      <c r="I228" s="6">
        <f t="shared" si="16"/>
        <v>1026.7</v>
      </c>
      <c r="J228" s="6"/>
      <c r="K228" s="6"/>
      <c r="L228" s="7"/>
      <c r="M228" s="7"/>
      <c r="N228" s="10"/>
      <c r="O228" s="11"/>
    </row>
    <row r="229" spans="1:15" ht="15" customHeight="1" x14ac:dyDescent="0.25">
      <c r="A229" s="58"/>
      <c r="B229" s="59" t="s">
        <v>25</v>
      </c>
      <c r="C229" s="60" t="s">
        <v>89</v>
      </c>
      <c r="D229" s="61" t="s">
        <v>139</v>
      </c>
      <c r="E229" s="61">
        <v>42580</v>
      </c>
      <c r="F229" s="6">
        <f>2552.1+30760.36+11654.38+13159.65</f>
        <v>58126.49</v>
      </c>
      <c r="G229" s="6">
        <v>7730.57</v>
      </c>
      <c r="H229" s="6">
        <f t="shared" si="16"/>
        <v>58126.49</v>
      </c>
      <c r="I229" s="6">
        <f t="shared" si="16"/>
        <v>7730.57</v>
      </c>
      <c r="J229" s="6"/>
      <c r="K229" s="6"/>
      <c r="L229" s="7"/>
      <c r="M229" s="7"/>
      <c r="N229" s="10"/>
      <c r="O229" s="11"/>
    </row>
    <row r="230" spans="1:15" ht="15" customHeight="1" x14ac:dyDescent="0.25">
      <c r="A230" s="58"/>
      <c r="B230" s="59" t="s">
        <v>25</v>
      </c>
      <c r="C230" s="60" t="s">
        <v>94</v>
      </c>
      <c r="D230" s="61" t="s">
        <v>139</v>
      </c>
      <c r="E230" s="61">
        <v>42580</v>
      </c>
      <c r="F230" s="6">
        <f>4039.2+26954.71+68246.66+499.9+34828.31</f>
        <v>134568.78</v>
      </c>
      <c r="G230" s="6">
        <v>20003.18</v>
      </c>
      <c r="H230" s="6">
        <f>F230</f>
        <v>134568.78</v>
      </c>
      <c r="I230" s="6">
        <f>G230</f>
        <v>20003.18</v>
      </c>
      <c r="J230" s="6"/>
      <c r="K230" s="6"/>
      <c r="L230" s="7"/>
      <c r="M230" s="7"/>
      <c r="N230" s="10"/>
      <c r="O230" s="11"/>
    </row>
    <row r="231" spans="1:15" ht="15" customHeight="1" x14ac:dyDescent="0.25">
      <c r="A231" s="58"/>
      <c r="B231" s="59" t="s">
        <v>25</v>
      </c>
      <c r="C231" s="60" t="s">
        <v>95</v>
      </c>
      <c r="D231" s="61" t="s">
        <v>139</v>
      </c>
      <c r="E231" s="61">
        <v>42580</v>
      </c>
      <c r="F231" s="6">
        <f>2485.19+27728.49+2204.38+3289.5+8905.02</f>
        <v>44612.58</v>
      </c>
      <c r="G231" s="6">
        <v>5586.91</v>
      </c>
      <c r="H231" s="6">
        <f>F231</f>
        <v>44612.58</v>
      </c>
      <c r="I231" s="6">
        <f>G231</f>
        <v>5586.91</v>
      </c>
      <c r="J231" s="6"/>
      <c r="K231" s="6"/>
      <c r="L231" s="7"/>
      <c r="M231" s="7"/>
      <c r="N231" s="10"/>
      <c r="O231" s="11"/>
    </row>
    <row r="232" spans="1:15" ht="15" customHeight="1" x14ac:dyDescent="0.25">
      <c r="A232" s="58"/>
      <c r="B232" s="59" t="s">
        <v>25</v>
      </c>
      <c r="C232" s="60" t="s">
        <v>98</v>
      </c>
      <c r="D232" s="61" t="s">
        <v>141</v>
      </c>
      <c r="E232" s="61">
        <v>42580</v>
      </c>
      <c r="F232" s="6">
        <f>878+156.48+1209.43</f>
        <v>2243.91</v>
      </c>
      <c r="G232" s="6">
        <v>854.77</v>
      </c>
      <c r="H232" s="6">
        <f>F232</f>
        <v>2243.91</v>
      </c>
      <c r="I232" s="6">
        <v>336.58</v>
      </c>
      <c r="J232" s="6"/>
      <c r="K232" s="6">
        <f t="shared" ref="K232" si="17">G232-I232</f>
        <v>518.19000000000005</v>
      </c>
      <c r="L232" s="7"/>
      <c r="M232" s="7"/>
      <c r="N232" s="10"/>
      <c r="O232" s="11"/>
    </row>
    <row r="233" spans="1:15" ht="15" customHeight="1" x14ac:dyDescent="0.25">
      <c r="A233" s="58"/>
      <c r="B233" s="59" t="s">
        <v>25</v>
      </c>
      <c r="C233" s="60" t="s">
        <v>99</v>
      </c>
      <c r="D233" s="61" t="s">
        <v>139</v>
      </c>
      <c r="E233" s="61">
        <v>42580</v>
      </c>
      <c r="F233" s="6">
        <f>165.2+4253.9+242.8+7900.65</f>
        <v>12562.55</v>
      </c>
      <c r="G233" s="6">
        <v>1169.8</v>
      </c>
      <c r="H233" s="6">
        <f>F233</f>
        <v>12562.55</v>
      </c>
      <c r="I233" s="6">
        <f>G233</f>
        <v>1169.8</v>
      </c>
      <c r="J233" s="6"/>
      <c r="K233" s="6"/>
      <c r="L233" s="7"/>
      <c r="M233" s="7"/>
      <c r="N233" s="10"/>
      <c r="O233" s="11"/>
    </row>
    <row r="234" spans="1:15" ht="15" customHeight="1" x14ac:dyDescent="0.25">
      <c r="A234" s="58"/>
      <c r="B234" s="59" t="s">
        <v>25</v>
      </c>
      <c r="C234" s="60" t="s">
        <v>104</v>
      </c>
      <c r="D234" s="61" t="s">
        <v>139</v>
      </c>
      <c r="E234" s="61">
        <v>42580</v>
      </c>
      <c r="F234" s="6">
        <f>1177.04+14490.27+9439.5+9618.44</f>
        <v>34725.25</v>
      </c>
      <c r="G234" s="6">
        <v>4530.59</v>
      </c>
      <c r="H234" s="6">
        <f>F234</f>
        <v>34725.25</v>
      </c>
      <c r="I234" s="6">
        <f>G234</f>
        <v>4530.59</v>
      </c>
      <c r="J234" s="6"/>
      <c r="K234" s="6"/>
      <c r="L234" s="7"/>
      <c r="M234" s="7"/>
      <c r="N234" s="10"/>
      <c r="O234" s="11"/>
    </row>
    <row r="235" spans="1:15" ht="15" customHeight="1" x14ac:dyDescent="0.25">
      <c r="A235" s="58"/>
      <c r="B235" s="59" t="s">
        <v>137</v>
      </c>
      <c r="C235" s="60" t="s">
        <v>97</v>
      </c>
      <c r="D235" s="61" t="s">
        <v>141</v>
      </c>
      <c r="E235" s="61">
        <v>42580</v>
      </c>
      <c r="F235" s="6">
        <f>11862.89+2776.16</f>
        <v>14639.05</v>
      </c>
      <c r="G235" s="6">
        <v>11537.59</v>
      </c>
      <c r="H235" s="6">
        <f>F235</f>
        <v>14639.05</v>
      </c>
      <c r="I235" s="6">
        <v>2195.86</v>
      </c>
      <c r="J235" s="6"/>
      <c r="K235" s="6">
        <f>G235-I235</f>
        <v>9341.73</v>
      </c>
      <c r="L235" s="7"/>
      <c r="M235" s="7"/>
      <c r="N235" s="10"/>
      <c r="O235" s="11"/>
    </row>
    <row r="236" spans="1:15" ht="15" customHeight="1" x14ac:dyDescent="0.25">
      <c r="A236" s="58"/>
      <c r="B236" s="59" t="s">
        <v>52</v>
      </c>
      <c r="C236" s="60" t="s">
        <v>53</v>
      </c>
      <c r="D236" s="61" t="s">
        <v>132</v>
      </c>
      <c r="E236" s="61">
        <v>42580</v>
      </c>
      <c r="F236" s="6">
        <f>4210.23+13762.17+5083.77+1715</f>
        <v>24771.170000000002</v>
      </c>
      <c r="G236" s="6">
        <v>2724.82</v>
      </c>
      <c r="H236" s="6"/>
      <c r="I236" s="6"/>
      <c r="J236" s="6">
        <f t="shared" ref="J236" si="18">G236+F236</f>
        <v>27495.99</v>
      </c>
      <c r="K236" s="6"/>
      <c r="L236" s="7"/>
      <c r="M236" s="7"/>
      <c r="N236" s="10"/>
      <c r="O236" s="11"/>
    </row>
    <row r="237" spans="1:15" ht="15" customHeight="1" x14ac:dyDescent="0.25">
      <c r="A237" s="58"/>
      <c r="B237" s="59" t="s">
        <v>52</v>
      </c>
      <c r="C237" s="60" t="s">
        <v>53</v>
      </c>
      <c r="D237" s="61" t="s">
        <v>139</v>
      </c>
      <c r="E237" s="61">
        <v>42580</v>
      </c>
      <c r="F237" s="6">
        <f>1838+38676.27+5891.78+1612.78</f>
        <v>48018.829999999994</v>
      </c>
      <c r="G237" s="6">
        <v>8491.65</v>
      </c>
      <c r="H237" s="6">
        <f>F237</f>
        <v>48018.829999999994</v>
      </c>
      <c r="I237" s="6">
        <v>8193.23</v>
      </c>
      <c r="J237" s="6"/>
      <c r="K237" s="6">
        <f>G237-I237</f>
        <v>298.42000000000007</v>
      </c>
      <c r="L237" s="7"/>
      <c r="M237" s="7"/>
      <c r="N237" s="10"/>
      <c r="O237" s="11"/>
    </row>
    <row r="238" spans="1:15" ht="15" customHeight="1" x14ac:dyDescent="0.25">
      <c r="A238" s="58"/>
      <c r="B238" s="59" t="s">
        <v>36</v>
      </c>
      <c r="C238" s="60" t="s">
        <v>37</v>
      </c>
      <c r="D238" s="61" t="s">
        <v>139</v>
      </c>
      <c r="E238" s="61">
        <v>42580</v>
      </c>
      <c r="F238" s="6">
        <f>1792.91+12095.33+7.56</f>
        <v>13895.8</v>
      </c>
      <c r="G238" s="6">
        <v>2084.37</v>
      </c>
      <c r="H238" s="6">
        <f t="shared" ref="H238:I253" si="19">F238</f>
        <v>13895.8</v>
      </c>
      <c r="I238" s="62">
        <v>2084.37</v>
      </c>
      <c r="J238" s="6"/>
      <c r="K238" s="6"/>
      <c r="L238" s="7"/>
      <c r="M238" s="7"/>
      <c r="N238" s="10"/>
      <c r="O238" s="11"/>
    </row>
    <row r="239" spans="1:15" ht="15" customHeight="1" x14ac:dyDescent="0.25">
      <c r="A239" s="58"/>
      <c r="B239" s="59" t="s">
        <v>23</v>
      </c>
      <c r="C239" s="60" t="s">
        <v>24</v>
      </c>
      <c r="D239" s="61" t="s">
        <v>139</v>
      </c>
      <c r="E239" s="61">
        <v>42580</v>
      </c>
      <c r="F239" s="6">
        <f>1678.6+39045.39+7954.81+449.06</f>
        <v>49127.859999999993</v>
      </c>
      <c r="G239" s="6">
        <v>3635.5</v>
      </c>
      <c r="H239" s="6">
        <f t="shared" si="19"/>
        <v>49127.859999999993</v>
      </c>
      <c r="I239" s="6">
        <v>3635.5</v>
      </c>
      <c r="J239" s="6"/>
      <c r="K239" s="6"/>
      <c r="L239" s="7"/>
      <c r="M239" s="7"/>
      <c r="N239" s="10"/>
      <c r="O239" s="11"/>
    </row>
    <row r="240" spans="1:15" ht="15" customHeight="1" x14ac:dyDescent="0.25">
      <c r="A240" s="58"/>
      <c r="B240" s="59" t="s">
        <v>102</v>
      </c>
      <c r="C240" s="60" t="s">
        <v>103</v>
      </c>
      <c r="D240" s="61" t="s">
        <v>140</v>
      </c>
      <c r="E240" s="61">
        <v>42580</v>
      </c>
      <c r="F240" s="6">
        <f>16434.87+19884.19+20018.2+16108.41</f>
        <v>72445.67</v>
      </c>
      <c r="G240" s="6">
        <v>5461.6</v>
      </c>
      <c r="H240" s="6">
        <f t="shared" si="19"/>
        <v>72445.67</v>
      </c>
      <c r="I240" s="6">
        <f>G240</f>
        <v>5461.6</v>
      </c>
      <c r="J240" s="6"/>
      <c r="K240" s="6"/>
      <c r="L240" s="7"/>
      <c r="M240" s="7"/>
      <c r="N240" s="10"/>
      <c r="O240" s="11"/>
    </row>
    <row r="241" spans="1:15" ht="15" customHeight="1" x14ac:dyDescent="0.25">
      <c r="A241" s="58"/>
      <c r="B241" s="59" t="s">
        <v>62</v>
      </c>
      <c r="C241" s="60" t="s">
        <v>63</v>
      </c>
      <c r="D241" s="61" t="s">
        <v>141</v>
      </c>
      <c r="E241" s="61">
        <v>42580</v>
      </c>
      <c r="F241" s="6">
        <f>4012.82+47890.76+12707.94+15431.95+475</f>
        <v>80518.47</v>
      </c>
      <c r="G241" s="6">
        <v>4502.46</v>
      </c>
      <c r="H241" s="6">
        <f t="shared" si="19"/>
        <v>80518.47</v>
      </c>
      <c r="I241" s="6">
        <f>G241</f>
        <v>4502.46</v>
      </c>
      <c r="J241" s="6"/>
      <c r="K241" s="6"/>
      <c r="L241" s="7"/>
      <c r="M241" s="7"/>
      <c r="N241" s="10"/>
      <c r="O241" s="11"/>
    </row>
    <row r="242" spans="1:15" ht="15" customHeight="1" x14ac:dyDescent="0.25">
      <c r="A242" s="58"/>
      <c r="B242" s="59" t="s">
        <v>28</v>
      </c>
      <c r="C242" s="60" t="s">
        <v>29</v>
      </c>
      <c r="D242" s="61" t="s">
        <v>141</v>
      </c>
      <c r="E242" s="61">
        <v>42580</v>
      </c>
      <c r="F242" s="6">
        <f>28442.68+87821.48+65117.02+13653.45</f>
        <v>195034.63</v>
      </c>
      <c r="G242" s="6">
        <v>28815.119999999999</v>
      </c>
      <c r="H242" s="6">
        <f t="shared" si="19"/>
        <v>195034.63</v>
      </c>
      <c r="I242" s="6">
        <f>G242</f>
        <v>28815.119999999999</v>
      </c>
      <c r="J242" s="6"/>
      <c r="K242" s="6"/>
      <c r="L242" s="7"/>
      <c r="M242" s="7"/>
      <c r="N242" s="10"/>
      <c r="O242" s="11"/>
    </row>
    <row r="243" spans="1:15" ht="15" customHeight="1" x14ac:dyDescent="0.25">
      <c r="A243" s="58"/>
      <c r="B243" s="59" t="s">
        <v>58</v>
      </c>
      <c r="C243" s="60" t="s">
        <v>59</v>
      </c>
      <c r="D243" s="61" t="s">
        <v>138</v>
      </c>
      <c r="E243" s="61">
        <v>42583</v>
      </c>
      <c r="F243" s="6">
        <f>532.5+4165.94+4355.14+165+1465.5</f>
        <v>10684.08</v>
      </c>
      <c r="G243" s="6">
        <v>3345</v>
      </c>
      <c r="H243" s="6">
        <f t="shared" si="19"/>
        <v>10684.08</v>
      </c>
      <c r="I243" s="6">
        <v>1602.61</v>
      </c>
      <c r="J243" s="6"/>
      <c r="K243" s="6">
        <f>G243-I243</f>
        <v>1742.39</v>
      </c>
      <c r="L243" s="7"/>
      <c r="M243" s="7"/>
      <c r="N243" s="10"/>
      <c r="O243" s="11"/>
    </row>
    <row r="244" spans="1:15" ht="15" customHeight="1" x14ac:dyDescent="0.25">
      <c r="A244" s="58"/>
      <c r="B244" s="59" t="s">
        <v>72</v>
      </c>
      <c r="C244" s="60" t="s">
        <v>73</v>
      </c>
      <c r="D244" s="61" t="s">
        <v>138</v>
      </c>
      <c r="E244" s="61">
        <v>42585</v>
      </c>
      <c r="F244" s="6">
        <f>4429.04+144+30233.72</f>
        <v>34806.76</v>
      </c>
      <c r="G244" s="6">
        <v>1932.05</v>
      </c>
      <c r="H244" s="6">
        <f t="shared" si="19"/>
        <v>34806.76</v>
      </c>
      <c r="I244" s="6">
        <f>G244</f>
        <v>1932.05</v>
      </c>
      <c r="J244" s="6"/>
      <c r="K244" s="6"/>
      <c r="L244" s="7"/>
      <c r="M244" s="7"/>
      <c r="N244" s="10"/>
      <c r="O244" s="11"/>
    </row>
    <row r="245" spans="1:15" ht="15" customHeight="1" x14ac:dyDescent="0.25">
      <c r="A245" s="58"/>
      <c r="B245" s="59" t="s">
        <v>34</v>
      </c>
      <c r="C245" s="60" t="s">
        <v>35</v>
      </c>
      <c r="D245" s="61" t="s">
        <v>141</v>
      </c>
      <c r="E245" s="61">
        <v>42587</v>
      </c>
      <c r="F245" s="6">
        <f>7303.52+10161.94</f>
        <v>17465.46</v>
      </c>
      <c r="G245" s="6">
        <v>250</v>
      </c>
      <c r="H245" s="6">
        <f t="shared" si="19"/>
        <v>17465.46</v>
      </c>
      <c r="I245" s="6">
        <f>G245</f>
        <v>250</v>
      </c>
      <c r="J245" s="6"/>
      <c r="K245" s="6"/>
      <c r="L245" s="7"/>
      <c r="M245" s="7"/>
      <c r="N245" s="10"/>
      <c r="O245" s="11"/>
    </row>
    <row r="246" spans="1:15" ht="15" customHeight="1" x14ac:dyDescent="0.25">
      <c r="A246" s="58"/>
      <c r="B246" s="59" t="s">
        <v>21</v>
      </c>
      <c r="C246" s="60" t="s">
        <v>22</v>
      </c>
      <c r="D246" s="61" t="s">
        <v>142</v>
      </c>
      <c r="E246" s="61">
        <v>42587</v>
      </c>
      <c r="F246" s="6">
        <v>596.86</v>
      </c>
      <c r="G246" s="6">
        <v>89.53</v>
      </c>
      <c r="H246" s="6">
        <f t="shared" si="19"/>
        <v>596.86</v>
      </c>
      <c r="I246" s="6">
        <f t="shared" si="19"/>
        <v>89.53</v>
      </c>
      <c r="J246" s="6"/>
      <c r="K246" s="6"/>
      <c r="L246" s="7"/>
      <c r="M246" s="7"/>
      <c r="N246" s="10"/>
      <c r="O246" s="11"/>
    </row>
    <row r="247" spans="1:15" ht="15" customHeight="1" x14ac:dyDescent="0.25">
      <c r="A247" s="58"/>
      <c r="B247" s="59" t="s">
        <v>135</v>
      </c>
      <c r="C247" s="60" t="s">
        <v>86</v>
      </c>
      <c r="D247" s="61" t="s">
        <v>143</v>
      </c>
      <c r="E247" s="61">
        <v>42597</v>
      </c>
      <c r="F247" s="6">
        <v>99383.29</v>
      </c>
      <c r="G247" s="6">
        <v>15303.59</v>
      </c>
      <c r="H247" s="6">
        <f>F247</f>
        <v>99383.29</v>
      </c>
      <c r="I247" s="6">
        <v>14907.49</v>
      </c>
      <c r="J247" s="6"/>
      <c r="K247" s="6">
        <f>G247-I247</f>
        <v>396.10000000000036</v>
      </c>
      <c r="L247" s="7"/>
      <c r="M247" s="7"/>
      <c r="N247" s="10"/>
      <c r="O247" s="11"/>
    </row>
    <row r="248" spans="1:15" ht="15" customHeight="1" x14ac:dyDescent="0.25">
      <c r="A248" s="58"/>
      <c r="B248" s="59" t="s">
        <v>74</v>
      </c>
      <c r="C248" s="60" t="s">
        <v>75</v>
      </c>
      <c r="D248" s="61" t="s">
        <v>140</v>
      </c>
      <c r="E248" s="61">
        <v>42599</v>
      </c>
      <c r="F248" s="6">
        <f>14622.51+38735.27+40988.94+839.94+11722.51</f>
        <v>106909.17</v>
      </c>
      <c r="G248" s="6">
        <v>15976.19</v>
      </c>
      <c r="H248" s="6">
        <f t="shared" si="19"/>
        <v>106909.17</v>
      </c>
      <c r="I248" s="6">
        <f t="shared" si="19"/>
        <v>15976.19</v>
      </c>
      <c r="J248" s="6"/>
      <c r="K248" s="6"/>
      <c r="L248" s="7"/>
      <c r="M248" s="7"/>
      <c r="N248" s="10"/>
      <c r="O248" s="11"/>
    </row>
    <row r="249" spans="1:15" ht="15" customHeight="1" x14ac:dyDescent="0.25">
      <c r="A249" s="58"/>
      <c r="B249" s="59" t="s">
        <v>68</v>
      </c>
      <c r="C249" s="60" t="s">
        <v>69</v>
      </c>
      <c r="D249" s="61" t="s">
        <v>141</v>
      </c>
      <c r="E249" s="61">
        <v>42613</v>
      </c>
      <c r="F249" s="6">
        <f>646+498.78+357+41.2+1450.82</f>
        <v>2993.8</v>
      </c>
      <c r="G249" s="6">
        <v>782</v>
      </c>
      <c r="H249" s="6">
        <f t="shared" si="19"/>
        <v>2993.8</v>
      </c>
      <c r="I249" s="6">
        <f t="shared" si="19"/>
        <v>782</v>
      </c>
      <c r="J249" s="6"/>
      <c r="K249" s="6"/>
      <c r="L249" s="7"/>
      <c r="M249" s="7"/>
      <c r="N249" s="10"/>
      <c r="O249" s="11"/>
    </row>
    <row r="250" spans="1:15" ht="15" customHeight="1" x14ac:dyDescent="0.25">
      <c r="A250" s="58"/>
      <c r="B250" s="59" t="s">
        <v>100</v>
      </c>
      <c r="C250" s="60" t="s">
        <v>101</v>
      </c>
      <c r="D250" s="61" t="s">
        <v>140</v>
      </c>
      <c r="E250" s="61">
        <v>42627</v>
      </c>
      <c r="F250" s="6">
        <f>12641.5+47346.73+27311.7+1227.68</f>
        <v>88527.61</v>
      </c>
      <c r="G250" s="6">
        <v>15551.12</v>
      </c>
      <c r="H250" s="6">
        <f t="shared" si="19"/>
        <v>88527.61</v>
      </c>
      <c r="I250" s="6">
        <f t="shared" si="19"/>
        <v>15551.12</v>
      </c>
      <c r="J250" s="6"/>
      <c r="K250" s="6"/>
      <c r="L250" s="7"/>
      <c r="M250" s="7"/>
      <c r="N250" s="10"/>
      <c r="O250" s="11"/>
    </row>
    <row r="251" spans="1:15" ht="15" customHeight="1" x14ac:dyDescent="0.25">
      <c r="A251" s="58"/>
      <c r="B251" s="59" t="s">
        <v>40</v>
      </c>
      <c r="C251" s="60" t="s">
        <v>41</v>
      </c>
      <c r="D251" s="61" t="s">
        <v>138</v>
      </c>
      <c r="E251" s="61">
        <v>42628</v>
      </c>
      <c r="F251" s="6">
        <f>3705.53+71316.7+7681.76+3654.33</f>
        <v>86358.319999999992</v>
      </c>
      <c r="G251" s="6">
        <v>4856.38</v>
      </c>
      <c r="H251" s="6">
        <f t="shared" si="19"/>
        <v>86358.319999999992</v>
      </c>
      <c r="I251" s="6">
        <f t="shared" si="19"/>
        <v>4856.38</v>
      </c>
      <c r="J251" s="6"/>
      <c r="K251" s="6"/>
      <c r="L251" s="7"/>
      <c r="M251" s="7"/>
      <c r="N251" s="10"/>
      <c r="O251" s="11"/>
    </row>
    <row r="252" spans="1:15" ht="15" customHeight="1" x14ac:dyDescent="0.25">
      <c r="A252" s="58"/>
      <c r="B252" s="59" t="s">
        <v>92</v>
      </c>
      <c r="C252" s="60" t="s">
        <v>93</v>
      </c>
      <c r="D252" s="61" t="s">
        <v>132</v>
      </c>
      <c r="E252" s="61">
        <v>42632</v>
      </c>
      <c r="F252" s="6">
        <f>1185+2035.37+1331.31+120</f>
        <v>4671.68</v>
      </c>
      <c r="G252" s="6">
        <v>700.75</v>
      </c>
      <c r="H252" s="6">
        <f t="shared" si="19"/>
        <v>4671.68</v>
      </c>
      <c r="I252" s="6">
        <f t="shared" si="19"/>
        <v>700.75</v>
      </c>
      <c r="J252" s="6"/>
      <c r="K252" s="6"/>
      <c r="L252" s="7"/>
      <c r="M252" s="7"/>
      <c r="N252" s="10"/>
      <c r="O252" s="11"/>
    </row>
    <row r="253" spans="1:15" ht="15" customHeight="1" x14ac:dyDescent="0.25">
      <c r="A253" s="58"/>
      <c r="B253" s="59" t="s">
        <v>45</v>
      </c>
      <c r="C253" s="60" t="s">
        <v>46</v>
      </c>
      <c r="D253" s="61" t="s">
        <v>141</v>
      </c>
      <c r="E253" s="61">
        <v>42660</v>
      </c>
      <c r="F253" s="6">
        <f>4512.51+2493.66+1556.32+5875.92+1932</f>
        <v>16370.41</v>
      </c>
      <c r="G253" s="6">
        <v>2455.5500000000002</v>
      </c>
      <c r="H253" s="6">
        <f t="shared" si="19"/>
        <v>16370.41</v>
      </c>
      <c r="I253" s="6">
        <f t="shared" si="19"/>
        <v>2455.5500000000002</v>
      </c>
      <c r="J253" s="6"/>
      <c r="K253" s="6"/>
      <c r="L253" s="7"/>
      <c r="M253" s="7"/>
      <c r="N253" s="10"/>
      <c r="O253" s="11"/>
    </row>
    <row r="254" spans="1:15" ht="15" customHeight="1" x14ac:dyDescent="0.25">
      <c r="A254" s="58"/>
      <c r="B254" s="59" t="s">
        <v>105</v>
      </c>
      <c r="C254" s="60" t="s">
        <v>106</v>
      </c>
      <c r="D254" s="61" t="s">
        <v>143</v>
      </c>
      <c r="E254" s="61">
        <v>42660</v>
      </c>
      <c r="F254" s="6">
        <f>14286.89+755.52</f>
        <v>15042.41</v>
      </c>
      <c r="G254" s="6">
        <v>-246.96</v>
      </c>
      <c r="H254" s="6">
        <f>F254</f>
        <v>15042.41</v>
      </c>
      <c r="I254" s="6">
        <f>G254</f>
        <v>-246.96</v>
      </c>
      <c r="J254" s="6"/>
      <c r="K254" s="6"/>
      <c r="L254" s="7"/>
      <c r="M254" s="7"/>
      <c r="N254" s="10"/>
      <c r="O254" s="11"/>
    </row>
    <row r="255" spans="1:15" ht="15" customHeight="1" x14ac:dyDescent="0.25">
      <c r="A255" s="58"/>
      <c r="B255" s="59" t="s">
        <v>92</v>
      </c>
      <c r="C255" s="60" t="s">
        <v>93</v>
      </c>
      <c r="D255" s="61" t="s">
        <v>141</v>
      </c>
      <c r="E255" s="61">
        <v>42662</v>
      </c>
      <c r="F255" s="6">
        <f>29027.81+8295.93+7158.23</f>
        <v>44481.97</v>
      </c>
      <c r="G255" s="6">
        <v>17508.84</v>
      </c>
      <c r="H255" s="6">
        <f>F255</f>
        <v>44481.97</v>
      </c>
      <c r="I255" s="6">
        <v>6672.2955000000002</v>
      </c>
      <c r="J255" s="6"/>
      <c r="K255" s="6">
        <f>G255-I255</f>
        <v>10836.5445</v>
      </c>
      <c r="L255" s="7"/>
      <c r="M255" s="7"/>
      <c r="N255" s="10"/>
      <c r="O255" s="11"/>
    </row>
    <row r="256" spans="1:15" ht="15" customHeight="1" x14ac:dyDescent="0.25">
      <c r="A256" s="80"/>
      <c r="B256" s="81"/>
      <c r="C256" s="82"/>
      <c r="D256" s="83"/>
      <c r="E256" s="83"/>
      <c r="F256" s="6"/>
      <c r="G256" s="6"/>
      <c r="H256" s="6"/>
      <c r="I256" s="6"/>
      <c r="J256" s="6"/>
      <c r="K256" s="6"/>
      <c r="L256" s="6"/>
      <c r="M256" s="6"/>
      <c r="N256" s="84"/>
    </row>
    <row r="257" spans="1:14" ht="15" customHeight="1" x14ac:dyDescent="0.25">
      <c r="A257" s="80"/>
      <c r="B257" s="81"/>
      <c r="C257" s="82"/>
      <c r="D257" s="83"/>
      <c r="E257" s="83"/>
      <c r="F257" s="6"/>
      <c r="G257" s="6"/>
      <c r="H257" s="6"/>
      <c r="I257" s="6"/>
      <c r="J257" s="6"/>
      <c r="K257" s="6"/>
      <c r="L257" s="6"/>
      <c r="M257" s="6"/>
      <c r="N257" s="85"/>
    </row>
    <row r="258" spans="1:14" ht="15" customHeight="1" x14ac:dyDescent="0.25">
      <c r="A258" s="80"/>
      <c r="B258" s="81"/>
      <c r="C258" s="82"/>
      <c r="D258" s="83"/>
      <c r="E258" s="83"/>
      <c r="F258" s="6"/>
      <c r="G258" s="6"/>
      <c r="H258" s="6"/>
      <c r="I258" s="6"/>
      <c r="J258" s="6"/>
      <c r="K258" s="6"/>
      <c r="L258" s="6"/>
      <c r="M258" s="6"/>
      <c r="N258" s="85"/>
    </row>
    <row r="259" spans="1:14" ht="15" customHeight="1" x14ac:dyDescent="0.25">
      <c r="A259" s="80"/>
      <c r="B259" s="81"/>
      <c r="C259" s="82"/>
      <c r="D259" s="83"/>
      <c r="E259" s="83"/>
      <c r="F259" s="6"/>
      <c r="G259" s="6"/>
      <c r="H259" s="6"/>
      <c r="I259" s="6"/>
      <c r="J259" s="6"/>
      <c r="K259" s="6"/>
      <c r="L259" s="6"/>
      <c r="M259" s="6"/>
      <c r="N259" s="85"/>
    </row>
    <row r="260" spans="1:14" ht="15" customHeight="1" thickBot="1" x14ac:dyDescent="0.3">
      <c r="A260" s="80"/>
      <c r="B260" s="81"/>
      <c r="C260" s="82"/>
      <c r="D260" s="83"/>
      <c r="E260" s="83"/>
      <c r="F260" s="6"/>
      <c r="G260" s="6"/>
      <c r="H260" s="6"/>
      <c r="I260" s="6"/>
      <c r="J260" s="6"/>
      <c r="K260" s="6"/>
      <c r="L260" s="6"/>
      <c r="M260" s="6"/>
      <c r="N260" s="85"/>
    </row>
    <row r="261" spans="1:14" ht="16.5" customHeight="1" thickTop="1" thickBot="1" x14ac:dyDescent="0.3">
      <c r="A261" s="167" t="s">
        <v>144</v>
      </c>
      <c r="B261" s="168"/>
      <c r="C261" s="169"/>
      <c r="D261" s="169"/>
      <c r="E261" s="169"/>
      <c r="F261" s="86">
        <f>SUM([1]Detail!F4:F256)</f>
        <v>7488859.0410000021</v>
      </c>
      <c r="G261" s="86">
        <f>SUM([1]Detail!G4:G256)</f>
        <v>1509129.080000001</v>
      </c>
      <c r="H261" s="86">
        <f>SUM([1]Detail!H4:H256)</f>
        <v>7463868.7710000016</v>
      </c>
      <c r="I261" s="86">
        <f>SUM([1]Detail!I4:I256)</f>
        <v>1048918.9714999998</v>
      </c>
      <c r="J261" s="86">
        <f>SUM([1]Detail!J4:J256)</f>
        <v>27495.99</v>
      </c>
      <c r="K261" s="86">
        <f>SUM([1]Detail!K4:K256)</f>
        <v>457364.23349999991</v>
      </c>
      <c r="L261" s="86">
        <f>SUM([1]Detail!L4:L256)</f>
        <v>0</v>
      </c>
      <c r="M261" s="86">
        <f>SUM([1]Detail!M4:M256)</f>
        <v>0</v>
      </c>
      <c r="N261" s="87">
        <f>SUM([1]Detail!N4:N256)</f>
        <v>219.09999999999854</v>
      </c>
    </row>
    <row r="262" spans="1:14" ht="15" customHeight="1" x14ac:dyDescent="0.25">
      <c r="A262" s="88"/>
      <c r="B262" s="89" t="s">
        <v>25</v>
      </c>
      <c r="C262" s="60" t="s">
        <v>108</v>
      </c>
      <c r="D262" s="75" t="s">
        <v>120</v>
      </c>
      <c r="E262" s="61">
        <v>42306</v>
      </c>
      <c r="F262" s="7">
        <v>100968.47</v>
      </c>
      <c r="G262" s="7">
        <v>0</v>
      </c>
      <c r="H262" s="7">
        <v>100968.47</v>
      </c>
      <c r="I262" s="7">
        <v>0</v>
      </c>
      <c r="J262" s="6"/>
      <c r="K262" s="7"/>
      <c r="L262" s="7"/>
      <c r="M262" s="7"/>
      <c r="N262" s="10"/>
    </row>
    <row r="263" spans="1:14" ht="15" customHeight="1" x14ac:dyDescent="0.25">
      <c r="A263" s="58"/>
      <c r="B263" s="89" t="s">
        <v>25</v>
      </c>
      <c r="C263" s="60" t="s">
        <v>108</v>
      </c>
      <c r="D263" s="6" t="s">
        <v>124</v>
      </c>
      <c r="E263" s="83">
        <v>42396</v>
      </c>
      <c r="F263" s="6">
        <v>113697.38</v>
      </c>
      <c r="G263" s="6">
        <v>0</v>
      </c>
      <c r="H263" s="6">
        <v>113697.38</v>
      </c>
      <c r="I263" s="7">
        <v>0</v>
      </c>
      <c r="J263" s="6"/>
      <c r="K263" s="6"/>
      <c r="L263" s="6"/>
      <c r="M263" s="7"/>
      <c r="N263" s="85"/>
    </row>
    <row r="264" spans="1:14" ht="15" customHeight="1" x14ac:dyDescent="0.25">
      <c r="A264" s="58"/>
      <c r="B264" s="90" t="s">
        <v>25</v>
      </c>
      <c r="C264" s="60" t="s">
        <v>108</v>
      </c>
      <c r="D264" s="61" t="s">
        <v>132</v>
      </c>
      <c r="E264" s="61">
        <v>42487</v>
      </c>
      <c r="F264" s="6">
        <v>109762.95</v>
      </c>
      <c r="G264" s="6">
        <v>0</v>
      </c>
      <c r="H264" s="75">
        <v>109762.95</v>
      </c>
      <c r="I264" s="6"/>
      <c r="J264" s="6"/>
      <c r="K264" s="6"/>
      <c r="L264" s="6"/>
      <c r="N264" s="85"/>
    </row>
    <row r="265" spans="1:14" ht="15.75" customHeight="1" thickBot="1" x14ac:dyDescent="0.3">
      <c r="A265" s="91"/>
      <c r="B265" s="90" t="s">
        <v>25</v>
      </c>
      <c r="C265" s="82" t="s">
        <v>108</v>
      </c>
      <c r="D265" s="92" t="s">
        <v>141</v>
      </c>
      <c r="E265" s="93">
        <v>42580</v>
      </c>
      <c r="F265" s="92">
        <v>175571.20000000001</v>
      </c>
      <c r="G265" s="92"/>
      <c r="H265" s="92">
        <f>F265</f>
        <v>175571.20000000001</v>
      </c>
      <c r="I265" s="92"/>
      <c r="J265" s="92"/>
      <c r="K265" s="92"/>
      <c r="L265" s="92"/>
      <c r="M265" s="92"/>
      <c r="N265" s="94"/>
    </row>
    <row r="266" spans="1:14" ht="16.5" customHeight="1" thickTop="1" thickBot="1" x14ac:dyDescent="0.3">
      <c r="A266" s="167" t="s">
        <v>145</v>
      </c>
      <c r="B266" s="168"/>
      <c r="C266" s="169"/>
      <c r="D266" s="169"/>
      <c r="E266" s="169"/>
      <c r="F266" s="86">
        <f t="shared" ref="F266:N266" si="20">SUM(F262:F265)</f>
        <v>500000</v>
      </c>
      <c r="G266" s="86">
        <f t="shared" si="20"/>
        <v>0</v>
      </c>
      <c r="H266" s="86">
        <f t="shared" si="20"/>
        <v>500000</v>
      </c>
      <c r="I266" s="86">
        <f t="shared" si="20"/>
        <v>0</v>
      </c>
      <c r="J266" s="86">
        <f t="shared" si="20"/>
        <v>0</v>
      </c>
      <c r="K266" s="86">
        <f t="shared" si="20"/>
        <v>0</v>
      </c>
      <c r="L266" s="86">
        <f t="shared" si="20"/>
        <v>0</v>
      </c>
      <c r="M266" s="86">
        <f>SUM(M262:M265)</f>
        <v>0</v>
      </c>
      <c r="N266" s="87">
        <f t="shared" si="20"/>
        <v>0</v>
      </c>
    </row>
    <row r="267" spans="1:14" ht="15.75" customHeight="1" thickBot="1" x14ac:dyDescent="0.3">
      <c r="A267" s="157" t="s">
        <v>146</v>
      </c>
      <c r="B267" s="158"/>
      <c r="C267" s="159"/>
      <c r="D267" s="159"/>
      <c r="E267" s="159"/>
      <c r="F267" s="26">
        <f t="shared" ref="F267:N267" si="21">F261+F266</f>
        <v>7988859.0410000021</v>
      </c>
      <c r="G267" s="26">
        <f t="shared" si="21"/>
        <v>1509129.080000001</v>
      </c>
      <c r="H267" s="26">
        <f t="shared" si="21"/>
        <v>7963868.7710000016</v>
      </c>
      <c r="I267" s="26">
        <f t="shared" si="21"/>
        <v>1048918.9714999998</v>
      </c>
      <c r="J267" s="26">
        <f t="shared" si="21"/>
        <v>27495.99</v>
      </c>
      <c r="K267" s="26">
        <f t="shared" si="21"/>
        <v>457364.23349999991</v>
      </c>
      <c r="L267" s="26">
        <f>L261+L266</f>
        <v>0</v>
      </c>
      <c r="M267" s="26">
        <f t="shared" si="21"/>
        <v>0</v>
      </c>
      <c r="N267" s="28">
        <f t="shared" si="21"/>
        <v>219.09999999999854</v>
      </c>
    </row>
    <row r="268" spans="1:14" ht="3.95" customHeight="1" thickTop="1" x14ac:dyDescent="0.25">
      <c r="A268" s="95"/>
      <c r="B268" s="34"/>
      <c r="C268" s="95"/>
      <c r="D268" s="31"/>
      <c r="E268" s="96"/>
      <c r="F268" s="31"/>
      <c r="G268" s="31"/>
      <c r="H268" s="6">
        <v>423.12</v>
      </c>
      <c r="I268" s="31"/>
      <c r="J268" s="31"/>
      <c r="K268" s="31"/>
      <c r="L268" s="31"/>
      <c r="M268" s="31"/>
      <c r="N268" s="33"/>
    </row>
    <row r="269" spans="1:14" ht="3.95" customHeight="1" x14ac:dyDescent="0.25">
      <c r="A269" s="95"/>
      <c r="B269" s="34"/>
      <c r="C269" s="95"/>
      <c r="D269" s="31"/>
      <c r="E269" s="96"/>
      <c r="F269" s="31"/>
      <c r="G269" s="31"/>
      <c r="H269" s="97"/>
      <c r="I269" s="98"/>
      <c r="J269" s="31"/>
      <c r="K269" s="31"/>
      <c r="L269" s="31"/>
      <c r="M269" s="31"/>
      <c r="N269" s="33"/>
    </row>
    <row r="270" spans="1:14" x14ac:dyDescent="0.25">
      <c r="A270" s="95"/>
      <c r="B270" s="34"/>
      <c r="C270" s="95"/>
      <c r="D270" s="31"/>
      <c r="E270" s="96"/>
      <c r="F270" s="31"/>
      <c r="G270" s="31"/>
      <c r="H270" s="98"/>
      <c r="I270" s="98"/>
      <c r="J270" s="31"/>
      <c r="K270" s="31"/>
      <c r="L270" s="31"/>
      <c r="M270" s="31"/>
      <c r="N270" s="33"/>
    </row>
    <row r="271" spans="1:14" x14ac:dyDescent="0.25">
      <c r="A271" s="95"/>
      <c r="B271" s="34"/>
      <c r="C271" s="95"/>
      <c r="D271" s="31"/>
      <c r="E271" s="96"/>
      <c r="F271" s="31"/>
      <c r="G271" s="31"/>
      <c r="H271" s="98"/>
      <c r="I271" s="98"/>
      <c r="J271" s="31"/>
      <c r="K271" s="31"/>
      <c r="L271" s="31"/>
      <c r="M271" s="31"/>
      <c r="N271" s="33"/>
    </row>
    <row r="272" spans="1:14" ht="3.95" customHeight="1" x14ac:dyDescent="0.25">
      <c r="A272" s="95"/>
      <c r="B272" s="34"/>
      <c r="C272" s="95"/>
      <c r="D272" s="31"/>
      <c r="E272" s="96"/>
      <c r="F272" s="31"/>
      <c r="G272" s="31"/>
      <c r="H272" s="98"/>
      <c r="I272" s="98"/>
      <c r="J272" s="31"/>
      <c r="K272" s="31"/>
      <c r="L272" s="31"/>
      <c r="M272" s="31"/>
      <c r="N272" s="33"/>
    </row>
    <row r="277" spans="1:14" x14ac:dyDescent="0.25">
      <c r="A277" s="12"/>
      <c r="C277" s="12"/>
      <c r="D277" s="12"/>
      <c r="E277" s="12"/>
      <c r="F277" s="12"/>
      <c r="G277" s="99"/>
      <c r="H277" s="11"/>
      <c r="I277" s="11"/>
      <c r="J277" s="12"/>
      <c r="K277" s="12"/>
      <c r="L277" s="12"/>
      <c r="M277" s="12"/>
      <c r="N277" s="12"/>
    </row>
    <row r="278" spans="1:14" x14ac:dyDescent="0.25">
      <c r="A278" s="12"/>
      <c r="C278" s="12"/>
      <c r="D278" s="12"/>
      <c r="E278" s="12"/>
      <c r="F278" s="12"/>
      <c r="G278" s="99"/>
      <c r="H278" s="11"/>
      <c r="I278" s="11"/>
      <c r="J278" s="12"/>
      <c r="K278" s="12"/>
      <c r="L278" s="12"/>
      <c r="M278" s="12"/>
      <c r="N278" s="12"/>
    </row>
    <row r="279" spans="1:14" x14ac:dyDescent="0.25">
      <c r="A279" s="12"/>
      <c r="C279" s="12"/>
      <c r="D279" s="12"/>
      <c r="E279" s="12"/>
      <c r="F279" s="12"/>
      <c r="G279" s="99"/>
      <c r="H279" s="11"/>
      <c r="I279" s="11"/>
      <c r="J279" s="12"/>
      <c r="K279" s="12"/>
      <c r="L279" s="12"/>
      <c r="M279" s="12"/>
      <c r="N279" s="12"/>
    </row>
    <row r="280" spans="1:14" x14ac:dyDescent="0.25">
      <c r="A280" s="12"/>
      <c r="C280" s="12"/>
      <c r="D280" s="12"/>
      <c r="E280" s="12"/>
      <c r="F280" s="12"/>
      <c r="G280" s="99"/>
      <c r="H280" s="11"/>
      <c r="I280" s="11"/>
      <c r="J280" s="12"/>
      <c r="K280" s="12"/>
      <c r="L280" s="12"/>
      <c r="M280" s="12"/>
      <c r="N280" s="12"/>
    </row>
    <row r="281" spans="1:14" x14ac:dyDescent="0.25">
      <c r="A281" s="12"/>
      <c r="C281" s="12"/>
      <c r="D281" s="12"/>
      <c r="E281" s="12"/>
      <c r="F281" s="12"/>
      <c r="G281" s="99"/>
      <c r="H281" s="11"/>
      <c r="I281" s="11"/>
      <c r="J281" s="12"/>
      <c r="K281" s="12"/>
      <c r="L281" s="12"/>
      <c r="M281" s="12"/>
      <c r="N281" s="12"/>
    </row>
  </sheetData>
  <mergeCells count="7">
    <mergeCell ref="A267:E267"/>
    <mergeCell ref="A1:N1"/>
    <mergeCell ref="F2:G2"/>
    <mergeCell ref="H2:I2"/>
    <mergeCell ref="K2:L2"/>
    <mergeCell ref="A261:E261"/>
    <mergeCell ref="A266:E2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workbookViewId="0">
      <selection activeCell="K25" sqref="K25:M25"/>
    </sheetView>
  </sheetViews>
  <sheetFormatPr defaultColWidth="0" defaultRowHeight="15" zeroHeight="1" x14ac:dyDescent="0.25"/>
  <cols>
    <col min="1" max="1" width="43.42578125" style="104" customWidth="1"/>
    <col min="2" max="4" width="9.140625" style="104" customWidth="1"/>
    <col min="5" max="5" width="10.7109375" style="104" bestFit="1" customWidth="1"/>
    <col min="6" max="6" width="10.85546875" style="104" bestFit="1" customWidth="1"/>
    <col min="7" max="7" width="14.28515625" style="104" bestFit="1" customWidth="1"/>
    <col min="8" max="8" width="10.7109375" style="104" bestFit="1" customWidth="1"/>
    <col min="9" max="9" width="11" style="104" bestFit="1" customWidth="1"/>
    <col min="10" max="10" width="10.7109375" style="104" bestFit="1" customWidth="1"/>
    <col min="11" max="11" width="9.85546875" style="104" bestFit="1" customWidth="1"/>
    <col min="12" max="12" width="10" style="104" bestFit="1" customWidth="1"/>
    <col min="13" max="13" width="9.7109375" style="104" bestFit="1" customWidth="1"/>
    <col min="14" max="14" width="10.28515625" style="104" bestFit="1" customWidth="1"/>
    <col min="15" max="16" width="9.7109375" style="104" bestFit="1" customWidth="1"/>
    <col min="17" max="21" width="0" style="133" hidden="1" customWidth="1"/>
    <col min="22" max="22" width="0" style="104" hidden="1" customWidth="1"/>
    <col min="23" max="16384" width="9.140625" style="104" hidden="1"/>
  </cols>
  <sheetData>
    <row r="1" spans="1:21" ht="15.75" thickTop="1" x14ac:dyDescent="0.25">
      <c r="A1" s="175" t="str">
        <f>[1]Detail!A1</f>
        <v>Requests Received As Of 02/28/2017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  <c r="Q1" s="104"/>
      <c r="R1" s="104"/>
      <c r="S1" s="104"/>
      <c r="T1" s="104"/>
      <c r="U1" s="104"/>
    </row>
    <row r="2" spans="1:21" x14ac:dyDescent="0.25">
      <c r="A2" s="105" t="s">
        <v>147</v>
      </c>
      <c r="B2" s="178" t="s">
        <v>1</v>
      </c>
      <c r="C2" s="179" t="s">
        <v>148</v>
      </c>
      <c r="D2" s="179"/>
      <c r="E2" s="105" t="s">
        <v>118</v>
      </c>
      <c r="F2" s="105" t="s">
        <v>119</v>
      </c>
      <c r="G2" s="106" t="s">
        <v>121</v>
      </c>
      <c r="H2" s="107" t="s">
        <v>122</v>
      </c>
      <c r="I2" s="107" t="s">
        <v>123</v>
      </c>
      <c r="J2" s="106" t="s">
        <v>125</v>
      </c>
      <c r="K2" s="108" t="s">
        <v>128</v>
      </c>
      <c r="L2" s="108" t="s">
        <v>130</v>
      </c>
      <c r="M2" s="108" t="s">
        <v>131</v>
      </c>
      <c r="N2" s="108" t="s">
        <v>134</v>
      </c>
      <c r="O2" s="108" t="s">
        <v>136</v>
      </c>
      <c r="P2" s="109" t="s">
        <v>138</v>
      </c>
      <c r="Q2" s="104"/>
      <c r="R2" s="104"/>
      <c r="S2" s="104"/>
      <c r="T2" s="104"/>
      <c r="U2" s="104"/>
    </row>
    <row r="3" spans="1:21" ht="15.75" thickBot="1" x14ac:dyDescent="0.3">
      <c r="A3" s="110" t="s">
        <v>0</v>
      </c>
      <c r="B3" s="173"/>
      <c r="C3" s="180" t="s">
        <v>149</v>
      </c>
      <c r="D3" s="181"/>
      <c r="E3" s="111">
        <v>42246</v>
      </c>
      <c r="F3" s="111">
        <v>42277</v>
      </c>
      <c r="G3" s="111">
        <v>42307</v>
      </c>
      <c r="H3" s="111">
        <v>42338</v>
      </c>
      <c r="I3" s="111">
        <v>42368</v>
      </c>
      <c r="J3" s="111">
        <v>42399</v>
      </c>
      <c r="K3" s="111">
        <v>42431</v>
      </c>
      <c r="L3" s="111">
        <v>42459</v>
      </c>
      <c r="M3" s="111">
        <v>42490</v>
      </c>
      <c r="N3" s="111">
        <v>42520</v>
      </c>
      <c r="O3" s="111">
        <v>42551</v>
      </c>
      <c r="P3" s="112">
        <v>42581</v>
      </c>
      <c r="Q3" s="104"/>
      <c r="R3" s="104"/>
      <c r="S3" s="104"/>
      <c r="T3" s="104"/>
      <c r="U3" s="104"/>
    </row>
    <row r="4" spans="1:21" ht="15.75" thickTop="1" x14ac:dyDescent="0.25">
      <c r="A4" s="113" t="s">
        <v>21</v>
      </c>
      <c r="B4" s="114" t="s">
        <v>22</v>
      </c>
      <c r="C4" s="182" t="s">
        <v>150</v>
      </c>
      <c r="D4" s="183"/>
      <c r="E4" s="115">
        <v>42244</v>
      </c>
      <c r="F4" s="115">
        <v>42276</v>
      </c>
      <c r="G4" s="115">
        <v>42306</v>
      </c>
      <c r="H4" s="115">
        <v>42335</v>
      </c>
      <c r="I4" s="115">
        <v>42355</v>
      </c>
      <c r="J4" s="116">
        <v>42481</v>
      </c>
      <c r="K4" s="115">
        <v>42430</v>
      </c>
      <c r="L4" s="115">
        <v>42458</v>
      </c>
      <c r="M4" s="115">
        <v>42488</v>
      </c>
      <c r="N4" s="115">
        <v>42521</v>
      </c>
      <c r="O4" s="115">
        <v>42536</v>
      </c>
      <c r="P4" s="115">
        <v>42558</v>
      </c>
      <c r="Q4" s="104"/>
      <c r="R4" s="104"/>
      <c r="S4" s="104"/>
      <c r="T4" s="104"/>
      <c r="U4" s="104"/>
    </row>
    <row r="5" spans="1:21" x14ac:dyDescent="0.25">
      <c r="A5" s="113" t="s">
        <v>40</v>
      </c>
      <c r="B5" s="114" t="s">
        <v>41</v>
      </c>
      <c r="C5" s="170" t="s">
        <v>150</v>
      </c>
      <c r="D5" s="171"/>
      <c r="E5" s="115">
        <v>42243</v>
      </c>
      <c r="F5" s="115">
        <v>42272</v>
      </c>
      <c r="G5" s="115">
        <v>42307</v>
      </c>
      <c r="H5" s="115">
        <v>42321</v>
      </c>
      <c r="I5" s="115">
        <v>42361</v>
      </c>
      <c r="J5" s="116">
        <v>42405</v>
      </c>
      <c r="K5" s="115">
        <v>42426</v>
      </c>
      <c r="L5" s="115">
        <v>42444</v>
      </c>
      <c r="M5" s="115">
        <v>42500</v>
      </c>
      <c r="N5" s="115">
        <v>42531</v>
      </c>
      <c r="O5" s="115">
        <v>42577</v>
      </c>
      <c r="P5" s="117">
        <v>42628</v>
      </c>
      <c r="Q5" s="104"/>
      <c r="R5" s="104"/>
      <c r="S5" s="104"/>
      <c r="T5" s="104"/>
      <c r="U5" s="104"/>
    </row>
    <row r="6" spans="1:21" x14ac:dyDescent="0.25">
      <c r="A6" s="113" t="s">
        <v>54</v>
      </c>
      <c r="B6" s="114" t="s">
        <v>55</v>
      </c>
      <c r="C6" s="170" t="s">
        <v>150</v>
      </c>
      <c r="D6" s="171"/>
      <c r="E6" s="115">
        <v>42246</v>
      </c>
      <c r="F6" s="115">
        <v>42272</v>
      </c>
      <c r="G6" s="115">
        <v>42300</v>
      </c>
      <c r="H6" s="115">
        <v>42331</v>
      </c>
      <c r="I6" s="115">
        <v>42360</v>
      </c>
      <c r="J6" s="115">
        <v>42398</v>
      </c>
      <c r="K6" s="115">
        <v>42430</v>
      </c>
      <c r="L6" s="115">
        <v>42454</v>
      </c>
      <c r="M6" s="115">
        <v>42471</v>
      </c>
      <c r="N6" s="115">
        <v>42518</v>
      </c>
      <c r="O6" s="115">
        <v>42530</v>
      </c>
      <c r="P6" s="115">
        <v>42559</v>
      </c>
      <c r="Q6" s="104"/>
      <c r="R6" s="104"/>
      <c r="S6" s="104"/>
      <c r="T6" s="104"/>
      <c r="U6" s="104"/>
    </row>
    <row r="7" spans="1:21" x14ac:dyDescent="0.25">
      <c r="A7" s="113" t="s">
        <v>58</v>
      </c>
      <c r="B7" s="114" t="s">
        <v>59</v>
      </c>
      <c r="C7" s="170" t="s">
        <v>150</v>
      </c>
      <c r="D7" s="171"/>
      <c r="E7" s="116">
        <v>42261</v>
      </c>
      <c r="F7" s="116">
        <v>42285</v>
      </c>
      <c r="G7" s="116">
        <v>42324</v>
      </c>
      <c r="H7" s="115">
        <v>42338</v>
      </c>
      <c r="I7" s="116">
        <v>42374</v>
      </c>
      <c r="J7" s="115">
        <v>42397</v>
      </c>
      <c r="K7" s="115">
        <v>42430</v>
      </c>
      <c r="L7" s="115">
        <v>42460</v>
      </c>
      <c r="M7" s="115">
        <v>42489</v>
      </c>
      <c r="N7" s="115">
        <v>42522</v>
      </c>
      <c r="O7" s="115">
        <v>42551</v>
      </c>
      <c r="P7" s="115">
        <v>42583</v>
      </c>
      <c r="Q7" s="104"/>
      <c r="R7" s="104"/>
      <c r="S7" s="104"/>
      <c r="T7" s="104"/>
      <c r="U7" s="104"/>
    </row>
    <row r="8" spans="1:21" x14ac:dyDescent="0.25">
      <c r="A8" s="118" t="s">
        <v>66</v>
      </c>
      <c r="B8" s="119" t="s">
        <v>67</v>
      </c>
      <c r="C8" s="170" t="s">
        <v>150</v>
      </c>
      <c r="D8" s="171"/>
      <c r="E8" s="115">
        <v>42241</v>
      </c>
      <c r="F8" s="115">
        <v>42263</v>
      </c>
      <c r="G8" s="115" t="s">
        <v>151</v>
      </c>
      <c r="H8" s="115" t="s">
        <v>151</v>
      </c>
      <c r="I8" s="115" t="s">
        <v>151</v>
      </c>
      <c r="J8" s="115">
        <v>42397</v>
      </c>
      <c r="K8" s="115">
        <v>42408</v>
      </c>
      <c r="L8" s="120">
        <v>42438</v>
      </c>
      <c r="M8" s="120">
        <v>42472</v>
      </c>
      <c r="N8" s="115">
        <v>42550</v>
      </c>
      <c r="O8" s="115">
        <v>42545</v>
      </c>
      <c r="P8" s="115">
        <v>42566</v>
      </c>
      <c r="Q8" s="104"/>
      <c r="R8" s="104"/>
      <c r="S8" s="104"/>
      <c r="T8" s="104"/>
      <c r="U8" s="104"/>
    </row>
    <row r="9" spans="1:21" x14ac:dyDescent="0.25">
      <c r="A9" s="113" t="s">
        <v>72</v>
      </c>
      <c r="B9" s="114" t="s">
        <v>73</v>
      </c>
      <c r="C9" s="170" t="s">
        <v>150</v>
      </c>
      <c r="D9" s="171"/>
      <c r="E9" s="116">
        <v>42437</v>
      </c>
      <c r="F9" s="121">
        <v>42480</v>
      </c>
      <c r="G9" s="121">
        <v>42480</v>
      </c>
      <c r="H9" s="121">
        <v>42480</v>
      </c>
      <c r="I9" s="116">
        <v>42521</v>
      </c>
      <c r="J9" s="116">
        <v>42521</v>
      </c>
      <c r="K9" s="115">
        <v>42530</v>
      </c>
      <c r="L9" s="115">
        <v>42530</v>
      </c>
      <c r="M9" s="115">
        <v>42535</v>
      </c>
      <c r="N9" s="115">
        <v>42535</v>
      </c>
      <c r="O9" s="115">
        <v>42536</v>
      </c>
      <c r="P9" s="115">
        <v>42585</v>
      </c>
      <c r="Q9" s="104"/>
      <c r="R9" s="104"/>
      <c r="S9" s="104"/>
      <c r="T9" s="104"/>
      <c r="U9" s="104"/>
    </row>
    <row r="10" spans="1:21" x14ac:dyDescent="0.25">
      <c r="A10" s="113" t="s">
        <v>79</v>
      </c>
      <c r="B10" s="114" t="s">
        <v>80</v>
      </c>
      <c r="C10" s="170" t="s">
        <v>150</v>
      </c>
      <c r="D10" s="171"/>
      <c r="E10" s="115">
        <v>42229</v>
      </c>
      <c r="F10" s="116">
        <v>42295</v>
      </c>
      <c r="G10" s="115">
        <v>42304</v>
      </c>
      <c r="H10" s="115">
        <v>42321</v>
      </c>
      <c r="I10" s="115">
        <v>42348</v>
      </c>
      <c r="J10" s="115">
        <v>42378</v>
      </c>
      <c r="K10" s="115">
        <v>42410</v>
      </c>
      <c r="L10" s="115">
        <v>42471</v>
      </c>
      <c r="M10" s="115">
        <v>43940</v>
      </c>
      <c r="N10" s="115">
        <v>75374</v>
      </c>
      <c r="O10" s="115">
        <v>42530</v>
      </c>
      <c r="P10" s="115">
        <v>42570</v>
      </c>
      <c r="Q10" s="104"/>
      <c r="R10" s="104"/>
      <c r="S10" s="104"/>
      <c r="T10" s="104"/>
      <c r="U10" s="104"/>
    </row>
    <row r="11" spans="1:21" x14ac:dyDescent="0.25">
      <c r="A11" s="122"/>
      <c r="B11" s="123"/>
      <c r="C11" s="123"/>
      <c r="D11" s="123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04"/>
      <c r="R11" s="104"/>
      <c r="S11" s="104"/>
      <c r="T11" s="104"/>
      <c r="U11" s="104"/>
    </row>
    <row r="12" spans="1:21" x14ac:dyDescent="0.25">
      <c r="A12" s="125" t="s">
        <v>152</v>
      </c>
      <c r="B12" s="172" t="s">
        <v>1</v>
      </c>
      <c r="C12" s="174" t="s">
        <v>148</v>
      </c>
      <c r="D12" s="174"/>
      <c r="E12" s="184" t="s">
        <v>153</v>
      </c>
      <c r="F12" s="185"/>
      <c r="G12" s="186"/>
      <c r="H12" s="184" t="s">
        <v>154</v>
      </c>
      <c r="I12" s="185" t="s">
        <v>123</v>
      </c>
      <c r="J12" s="186" t="s">
        <v>125</v>
      </c>
      <c r="K12" s="184" t="s">
        <v>155</v>
      </c>
      <c r="L12" s="185" t="s">
        <v>130</v>
      </c>
      <c r="M12" s="186" t="s">
        <v>131</v>
      </c>
      <c r="N12" s="184" t="s">
        <v>139</v>
      </c>
      <c r="O12" s="185" t="s">
        <v>136</v>
      </c>
      <c r="P12" s="186" t="s">
        <v>138</v>
      </c>
      <c r="Q12" s="104"/>
      <c r="R12" s="104"/>
      <c r="S12" s="104"/>
      <c r="T12" s="104"/>
      <c r="U12" s="104"/>
    </row>
    <row r="13" spans="1:21" ht="15.75" thickBot="1" x14ac:dyDescent="0.3">
      <c r="A13" s="110" t="s">
        <v>0</v>
      </c>
      <c r="B13" s="173"/>
      <c r="C13" s="180" t="s">
        <v>149</v>
      </c>
      <c r="D13" s="181"/>
      <c r="E13" s="187">
        <v>42307</v>
      </c>
      <c r="F13" s="188"/>
      <c r="G13" s="189"/>
      <c r="H13" s="187">
        <v>42399</v>
      </c>
      <c r="I13" s="188">
        <v>41638</v>
      </c>
      <c r="J13" s="189">
        <v>41669</v>
      </c>
      <c r="K13" s="187">
        <v>42490</v>
      </c>
      <c r="L13" s="188">
        <v>41728</v>
      </c>
      <c r="M13" s="189">
        <v>41759</v>
      </c>
      <c r="N13" s="187">
        <v>42581</v>
      </c>
      <c r="O13" s="188">
        <v>41820</v>
      </c>
      <c r="P13" s="189">
        <v>41850</v>
      </c>
      <c r="Q13" s="104"/>
      <c r="R13" s="104"/>
      <c r="S13" s="104"/>
      <c r="T13" s="104"/>
      <c r="U13" s="104"/>
    </row>
    <row r="14" spans="1:21" ht="15.75" thickTop="1" x14ac:dyDescent="0.25">
      <c r="A14" s="113" t="s">
        <v>23</v>
      </c>
      <c r="B14" s="119" t="s">
        <v>24</v>
      </c>
      <c r="C14" s="170" t="s">
        <v>150</v>
      </c>
      <c r="D14" s="171"/>
      <c r="E14" s="190">
        <v>42326</v>
      </c>
      <c r="F14" s="191"/>
      <c r="G14" s="192"/>
      <c r="H14" s="190">
        <v>42436</v>
      </c>
      <c r="I14" s="191"/>
      <c r="J14" s="192"/>
      <c r="K14" s="193">
        <v>42488</v>
      </c>
      <c r="L14" s="194"/>
      <c r="M14" s="195"/>
      <c r="N14" s="193" t="s">
        <v>156</v>
      </c>
      <c r="O14" s="194"/>
      <c r="P14" s="195"/>
      <c r="Q14" s="104"/>
      <c r="R14" s="104"/>
      <c r="S14" s="104"/>
      <c r="T14" s="104"/>
      <c r="U14" s="104"/>
    </row>
    <row r="15" spans="1:21" x14ac:dyDescent="0.25">
      <c r="A15" s="118" t="s">
        <v>25</v>
      </c>
      <c r="B15" s="119" t="s">
        <v>26</v>
      </c>
      <c r="C15" s="170" t="s">
        <v>150</v>
      </c>
      <c r="D15" s="171"/>
      <c r="E15" s="193">
        <v>42305</v>
      </c>
      <c r="F15" s="194"/>
      <c r="G15" s="195"/>
      <c r="H15" s="193">
        <v>42396</v>
      </c>
      <c r="I15" s="194"/>
      <c r="J15" s="195"/>
      <c r="K15" s="193">
        <v>75358</v>
      </c>
      <c r="L15" s="194"/>
      <c r="M15" s="195"/>
      <c r="N15" s="193">
        <v>42580</v>
      </c>
      <c r="O15" s="194"/>
      <c r="P15" s="195"/>
      <c r="Q15" s="104"/>
      <c r="R15" s="104"/>
      <c r="S15" s="104"/>
      <c r="T15" s="104"/>
      <c r="U15" s="104"/>
    </row>
    <row r="16" spans="1:21" x14ac:dyDescent="0.25">
      <c r="A16" s="113" t="s">
        <v>25</v>
      </c>
      <c r="B16" s="119" t="s">
        <v>27</v>
      </c>
      <c r="C16" s="170" t="s">
        <v>150</v>
      </c>
      <c r="D16" s="171"/>
      <c r="E16" s="193">
        <v>42305</v>
      </c>
      <c r="F16" s="194"/>
      <c r="G16" s="195"/>
      <c r="H16" s="193">
        <v>42396</v>
      </c>
      <c r="I16" s="194"/>
      <c r="J16" s="195"/>
      <c r="K16" s="193">
        <v>42487</v>
      </c>
      <c r="L16" s="194"/>
      <c r="M16" s="195"/>
      <c r="N16" s="193">
        <v>42580</v>
      </c>
      <c r="O16" s="194"/>
      <c r="P16" s="195"/>
      <c r="Q16" s="104"/>
      <c r="R16" s="104"/>
      <c r="S16" s="104"/>
      <c r="T16" s="104"/>
      <c r="U16" s="104"/>
    </row>
    <row r="17" spans="1:21" x14ac:dyDescent="0.25">
      <c r="A17" s="118" t="s">
        <v>28</v>
      </c>
      <c r="B17" s="119" t="s">
        <v>29</v>
      </c>
      <c r="C17" s="170" t="s">
        <v>150</v>
      </c>
      <c r="D17" s="171"/>
      <c r="E17" s="193">
        <v>42306</v>
      </c>
      <c r="F17" s="194"/>
      <c r="G17" s="195"/>
      <c r="H17" s="196">
        <v>42400</v>
      </c>
      <c r="I17" s="197"/>
      <c r="J17" s="198"/>
      <c r="K17" s="193">
        <v>42485</v>
      </c>
      <c r="L17" s="194"/>
      <c r="M17" s="195"/>
      <c r="N17" s="193">
        <v>42580</v>
      </c>
      <c r="O17" s="194"/>
      <c r="P17" s="195"/>
      <c r="Q17" s="104"/>
      <c r="R17" s="104"/>
      <c r="S17" s="104"/>
      <c r="T17" s="104"/>
      <c r="U17" s="104"/>
    </row>
    <row r="18" spans="1:21" x14ac:dyDescent="0.25">
      <c r="A18" s="118" t="s">
        <v>30</v>
      </c>
      <c r="B18" s="119" t="s">
        <v>31</v>
      </c>
      <c r="C18" s="170" t="s">
        <v>150</v>
      </c>
      <c r="D18" s="171"/>
      <c r="E18" s="193">
        <v>42305</v>
      </c>
      <c r="F18" s="194"/>
      <c r="G18" s="195"/>
      <c r="H18" s="193">
        <v>42395</v>
      </c>
      <c r="I18" s="194"/>
      <c r="J18" s="195"/>
      <c r="K18" s="193">
        <v>42488</v>
      </c>
      <c r="L18" s="194"/>
      <c r="M18" s="195"/>
      <c r="N18" s="193">
        <v>42578</v>
      </c>
      <c r="O18" s="194"/>
      <c r="P18" s="195"/>
      <c r="Q18" s="104"/>
      <c r="R18" s="104"/>
      <c r="S18" s="104"/>
      <c r="T18" s="104"/>
      <c r="U18" s="104"/>
    </row>
    <row r="19" spans="1:21" x14ac:dyDescent="0.25">
      <c r="A19" s="118" t="s">
        <v>32</v>
      </c>
      <c r="B19" s="119" t="s">
        <v>33</v>
      </c>
      <c r="C19" s="170" t="s">
        <v>150</v>
      </c>
      <c r="D19" s="171"/>
      <c r="E19" s="193">
        <v>42305</v>
      </c>
      <c r="F19" s="194"/>
      <c r="G19" s="195"/>
      <c r="H19" s="193">
        <v>42389</v>
      </c>
      <c r="I19" s="194"/>
      <c r="J19" s="195"/>
      <c r="K19" s="193">
        <v>42488</v>
      </c>
      <c r="L19" s="194"/>
      <c r="M19" s="195"/>
      <c r="N19" s="193">
        <v>42578</v>
      </c>
      <c r="O19" s="194"/>
      <c r="P19" s="195"/>
      <c r="Q19" s="104"/>
      <c r="R19" s="104"/>
      <c r="S19" s="104"/>
      <c r="T19" s="104"/>
      <c r="U19" s="104"/>
    </row>
    <row r="20" spans="1:21" x14ac:dyDescent="0.25">
      <c r="A20" s="118" t="s">
        <v>34</v>
      </c>
      <c r="B20" s="119" t="s">
        <v>157</v>
      </c>
      <c r="C20" s="170" t="s">
        <v>150</v>
      </c>
      <c r="D20" s="171"/>
      <c r="E20" s="193">
        <v>42306</v>
      </c>
      <c r="F20" s="194"/>
      <c r="G20" s="195"/>
      <c r="H20" s="193">
        <v>42377</v>
      </c>
      <c r="I20" s="194"/>
      <c r="J20" s="195"/>
      <c r="K20" s="196">
        <v>42499</v>
      </c>
      <c r="L20" s="197"/>
      <c r="M20" s="198"/>
      <c r="N20" s="193">
        <v>42587</v>
      </c>
      <c r="O20" s="194"/>
      <c r="P20" s="195"/>
      <c r="Q20" s="104"/>
      <c r="R20" s="104"/>
      <c r="S20" s="104"/>
      <c r="T20" s="104"/>
      <c r="U20" s="104"/>
    </row>
    <row r="21" spans="1:21" x14ac:dyDescent="0.25">
      <c r="A21" s="113" t="s">
        <v>36</v>
      </c>
      <c r="B21" s="119" t="s">
        <v>37</v>
      </c>
      <c r="C21" s="170" t="s">
        <v>150</v>
      </c>
      <c r="D21" s="171"/>
      <c r="E21" s="193">
        <v>42305</v>
      </c>
      <c r="F21" s="194"/>
      <c r="G21" s="195"/>
      <c r="H21" s="193">
        <v>42396</v>
      </c>
      <c r="I21" s="194"/>
      <c r="J21" s="195"/>
      <c r="K21" s="193">
        <v>42481</v>
      </c>
      <c r="L21" s="194"/>
      <c r="M21" s="195"/>
      <c r="N21" s="193">
        <v>42580</v>
      </c>
      <c r="O21" s="194"/>
      <c r="P21" s="195"/>
      <c r="Q21" s="104"/>
      <c r="R21" s="104"/>
      <c r="S21" s="104"/>
      <c r="T21" s="104"/>
      <c r="U21" s="104"/>
    </row>
    <row r="22" spans="1:21" x14ac:dyDescent="0.25">
      <c r="A22" s="113" t="s">
        <v>38</v>
      </c>
      <c r="B22" s="119" t="s">
        <v>39</v>
      </c>
      <c r="C22" s="170" t="s">
        <v>150</v>
      </c>
      <c r="D22" s="171"/>
      <c r="E22" s="196">
        <v>42319</v>
      </c>
      <c r="F22" s="197"/>
      <c r="G22" s="198"/>
      <c r="H22" s="193">
        <v>42398</v>
      </c>
      <c r="I22" s="194"/>
      <c r="J22" s="195"/>
      <c r="K22" s="193">
        <v>42489</v>
      </c>
      <c r="L22" s="194"/>
      <c r="M22" s="195"/>
      <c r="N22" s="193">
        <v>42573</v>
      </c>
      <c r="O22" s="194"/>
      <c r="P22" s="195"/>
      <c r="Q22" s="104"/>
      <c r="R22" s="104"/>
      <c r="S22" s="104"/>
      <c r="T22" s="104"/>
      <c r="U22" s="104"/>
    </row>
    <row r="23" spans="1:21" x14ac:dyDescent="0.25">
      <c r="A23" s="113" t="s">
        <v>42</v>
      </c>
      <c r="B23" s="119" t="s">
        <v>43</v>
      </c>
      <c r="C23" s="170" t="s">
        <v>150</v>
      </c>
      <c r="D23" s="171"/>
      <c r="E23" s="193">
        <v>42299</v>
      </c>
      <c r="F23" s="194"/>
      <c r="G23" s="195"/>
      <c r="H23" s="193">
        <v>42382</v>
      </c>
      <c r="I23" s="194"/>
      <c r="J23" s="195"/>
      <c r="K23" s="193">
        <v>42478</v>
      </c>
      <c r="L23" s="194"/>
      <c r="M23" s="195"/>
      <c r="N23" s="193">
        <v>42572</v>
      </c>
      <c r="O23" s="194"/>
      <c r="P23" s="195"/>
      <c r="Q23" s="104"/>
      <c r="R23" s="104"/>
      <c r="S23" s="104"/>
      <c r="T23" s="104"/>
      <c r="U23" s="104"/>
    </row>
    <row r="24" spans="1:21" x14ac:dyDescent="0.25">
      <c r="A24" s="113" t="s">
        <v>42</v>
      </c>
      <c r="B24" s="119" t="s">
        <v>44</v>
      </c>
      <c r="C24" s="170" t="s">
        <v>150</v>
      </c>
      <c r="D24" s="171"/>
      <c r="E24" s="193">
        <v>42299</v>
      </c>
      <c r="F24" s="194"/>
      <c r="G24" s="195"/>
      <c r="H24" s="193">
        <v>42394</v>
      </c>
      <c r="I24" s="194"/>
      <c r="J24" s="195"/>
      <c r="K24" s="193">
        <v>42478</v>
      </c>
      <c r="L24" s="194"/>
      <c r="M24" s="195"/>
      <c r="N24" s="193">
        <v>42572</v>
      </c>
      <c r="O24" s="194"/>
      <c r="P24" s="195"/>
      <c r="Q24" s="104"/>
      <c r="R24" s="104"/>
      <c r="S24" s="104"/>
      <c r="T24" s="104"/>
      <c r="U24" s="104"/>
    </row>
    <row r="25" spans="1:21" x14ac:dyDescent="0.25">
      <c r="A25" s="113" t="s">
        <v>45</v>
      </c>
      <c r="B25" s="119" t="s">
        <v>46</v>
      </c>
      <c r="C25" s="170" t="s">
        <v>150</v>
      </c>
      <c r="D25" s="171"/>
      <c r="E25" s="193">
        <v>42307</v>
      </c>
      <c r="F25" s="194"/>
      <c r="G25" s="195"/>
      <c r="H25" s="196">
        <v>42401</v>
      </c>
      <c r="I25" s="197"/>
      <c r="J25" s="198"/>
      <c r="K25" s="190">
        <v>42502</v>
      </c>
      <c r="L25" s="191"/>
      <c r="M25" s="192"/>
      <c r="N25" s="199">
        <v>42580</v>
      </c>
      <c r="O25" s="200"/>
      <c r="P25" s="201"/>
      <c r="Q25" s="104"/>
      <c r="R25" s="104"/>
      <c r="S25" s="104"/>
      <c r="T25" s="104"/>
      <c r="U25" s="104"/>
    </row>
    <row r="26" spans="1:21" x14ac:dyDescent="0.25">
      <c r="A26" s="113" t="s">
        <v>47</v>
      </c>
      <c r="B26" s="119" t="s">
        <v>48</v>
      </c>
      <c r="C26" s="170" t="s">
        <v>150</v>
      </c>
      <c r="D26" s="171"/>
      <c r="E26" s="196">
        <v>42324</v>
      </c>
      <c r="F26" s="197"/>
      <c r="G26" s="198"/>
      <c r="H26" s="193">
        <v>42381</v>
      </c>
      <c r="I26" s="194"/>
      <c r="J26" s="195"/>
      <c r="K26" s="193">
        <v>42484</v>
      </c>
      <c r="L26" s="194"/>
      <c r="M26" s="195"/>
      <c r="N26" s="193">
        <v>42578</v>
      </c>
      <c r="O26" s="194"/>
      <c r="P26" s="195"/>
      <c r="Q26" s="104"/>
      <c r="R26" s="104"/>
      <c r="S26" s="104"/>
      <c r="T26" s="104"/>
      <c r="U26" s="104"/>
    </row>
    <row r="27" spans="1:21" x14ac:dyDescent="0.25">
      <c r="A27" s="118" t="s">
        <v>25</v>
      </c>
      <c r="B27" s="119" t="s">
        <v>49</v>
      </c>
      <c r="C27" s="170" t="s">
        <v>150</v>
      </c>
      <c r="D27" s="171"/>
      <c r="E27" s="193">
        <v>42305</v>
      </c>
      <c r="F27" s="194"/>
      <c r="G27" s="195"/>
      <c r="H27" s="193">
        <v>42396</v>
      </c>
      <c r="I27" s="194"/>
      <c r="J27" s="195"/>
      <c r="K27" s="193">
        <v>42487</v>
      </c>
      <c r="L27" s="194"/>
      <c r="M27" s="195"/>
      <c r="N27" s="193">
        <v>42580</v>
      </c>
      <c r="O27" s="194"/>
      <c r="P27" s="195"/>
      <c r="Q27" s="104"/>
      <c r="R27" s="104"/>
      <c r="S27" s="104"/>
      <c r="T27" s="104"/>
      <c r="U27" s="104"/>
    </row>
    <row r="28" spans="1:21" x14ac:dyDescent="0.25">
      <c r="A28" s="118" t="s">
        <v>52</v>
      </c>
      <c r="B28" s="119" t="s">
        <v>53</v>
      </c>
      <c r="C28" s="170" t="s">
        <v>150</v>
      </c>
      <c r="D28" s="171"/>
      <c r="E28" s="193">
        <v>42307</v>
      </c>
      <c r="F28" s="194"/>
      <c r="G28" s="195"/>
      <c r="H28" s="196">
        <v>42403</v>
      </c>
      <c r="I28" s="197"/>
      <c r="J28" s="198"/>
      <c r="K28" s="196">
        <v>42580</v>
      </c>
      <c r="L28" s="197"/>
      <c r="M28" s="198"/>
      <c r="N28" s="193">
        <v>42580</v>
      </c>
      <c r="O28" s="194"/>
      <c r="P28" s="195"/>
      <c r="Q28" s="104"/>
      <c r="R28" s="104"/>
      <c r="S28" s="104"/>
      <c r="T28" s="104"/>
      <c r="U28" s="104"/>
    </row>
    <row r="29" spans="1:21" x14ac:dyDescent="0.25">
      <c r="A29" s="118" t="s">
        <v>25</v>
      </c>
      <c r="B29" s="119" t="s">
        <v>56</v>
      </c>
      <c r="C29" s="170" t="s">
        <v>150</v>
      </c>
      <c r="D29" s="171"/>
      <c r="E29" s="193">
        <v>42305</v>
      </c>
      <c r="F29" s="194"/>
      <c r="G29" s="195"/>
      <c r="H29" s="193">
        <v>42396</v>
      </c>
      <c r="I29" s="194"/>
      <c r="J29" s="195"/>
      <c r="K29" s="193">
        <v>42487</v>
      </c>
      <c r="L29" s="194"/>
      <c r="M29" s="195"/>
      <c r="N29" s="193">
        <v>42580</v>
      </c>
      <c r="O29" s="194"/>
      <c r="P29" s="195"/>
      <c r="Q29" s="104"/>
      <c r="R29" s="104"/>
      <c r="S29" s="104"/>
      <c r="T29" s="104"/>
      <c r="U29" s="104"/>
    </row>
    <row r="30" spans="1:21" x14ac:dyDescent="0.25">
      <c r="A30" s="118" t="s">
        <v>25</v>
      </c>
      <c r="B30" s="119" t="s">
        <v>57</v>
      </c>
      <c r="C30" s="170" t="s">
        <v>150</v>
      </c>
      <c r="D30" s="171"/>
      <c r="E30" s="193">
        <v>42305</v>
      </c>
      <c r="F30" s="194"/>
      <c r="G30" s="195"/>
      <c r="H30" s="193">
        <v>42396</v>
      </c>
      <c r="I30" s="194"/>
      <c r="J30" s="195"/>
      <c r="K30" s="193">
        <v>42487</v>
      </c>
      <c r="L30" s="194"/>
      <c r="M30" s="195"/>
      <c r="N30" s="193">
        <v>42580</v>
      </c>
      <c r="O30" s="194"/>
      <c r="P30" s="195"/>
      <c r="Q30" s="104"/>
      <c r="R30" s="104"/>
      <c r="S30" s="104"/>
      <c r="T30" s="104"/>
      <c r="U30" s="104"/>
    </row>
    <row r="31" spans="1:21" x14ac:dyDescent="0.25">
      <c r="A31" s="118" t="s">
        <v>25</v>
      </c>
      <c r="B31" s="119" t="s">
        <v>60</v>
      </c>
      <c r="C31" s="170" t="s">
        <v>150</v>
      </c>
      <c r="D31" s="171"/>
      <c r="E31" s="193">
        <v>42305</v>
      </c>
      <c r="F31" s="194"/>
      <c r="G31" s="195"/>
      <c r="H31" s="193">
        <v>42396</v>
      </c>
      <c r="I31" s="194"/>
      <c r="J31" s="195"/>
      <c r="K31" s="126"/>
      <c r="L31" s="127">
        <v>42487</v>
      </c>
      <c r="M31" s="128"/>
      <c r="N31" s="129"/>
      <c r="O31" s="130">
        <v>42580</v>
      </c>
      <c r="P31" s="131"/>
      <c r="Q31" s="104"/>
      <c r="R31" s="104"/>
      <c r="S31" s="104"/>
      <c r="T31" s="104"/>
      <c r="U31" s="104"/>
    </row>
    <row r="32" spans="1:21" x14ac:dyDescent="0.25">
      <c r="A32" s="113" t="s">
        <v>25</v>
      </c>
      <c r="B32" s="114" t="s">
        <v>61</v>
      </c>
      <c r="C32" s="170" t="s">
        <v>150</v>
      </c>
      <c r="D32" s="171"/>
      <c r="E32" s="193">
        <v>42305</v>
      </c>
      <c r="F32" s="194"/>
      <c r="G32" s="195"/>
      <c r="H32" s="193">
        <v>42396</v>
      </c>
      <c r="I32" s="194"/>
      <c r="J32" s="195"/>
      <c r="K32" s="193">
        <v>42487</v>
      </c>
      <c r="L32" s="194"/>
      <c r="M32" s="195"/>
      <c r="N32" s="193">
        <v>42580</v>
      </c>
      <c r="O32" s="194"/>
      <c r="P32" s="195"/>
      <c r="Q32" s="104"/>
      <c r="R32" s="104"/>
      <c r="S32" s="104"/>
      <c r="T32" s="104"/>
      <c r="U32" s="104"/>
    </row>
    <row r="33" spans="1:21" x14ac:dyDescent="0.25">
      <c r="A33" s="113" t="s">
        <v>62</v>
      </c>
      <c r="B33" s="119" t="s">
        <v>63</v>
      </c>
      <c r="C33" s="170" t="s">
        <v>150</v>
      </c>
      <c r="D33" s="171"/>
      <c r="E33" s="193">
        <v>42306</v>
      </c>
      <c r="F33" s="194"/>
      <c r="G33" s="195"/>
      <c r="H33" s="193">
        <v>42396</v>
      </c>
      <c r="I33" s="194"/>
      <c r="J33" s="195"/>
      <c r="K33" s="193">
        <v>42488</v>
      </c>
      <c r="L33" s="194"/>
      <c r="M33" s="195"/>
      <c r="N33" s="193">
        <v>42580</v>
      </c>
      <c r="O33" s="194"/>
      <c r="P33" s="195"/>
      <c r="Q33" s="104"/>
      <c r="R33" s="104"/>
      <c r="S33" s="104"/>
      <c r="T33" s="104"/>
      <c r="U33" s="104"/>
    </row>
    <row r="34" spans="1:21" x14ac:dyDescent="0.25">
      <c r="A34" s="113" t="s">
        <v>25</v>
      </c>
      <c r="B34" s="114" t="s">
        <v>64</v>
      </c>
      <c r="C34" s="170" t="s">
        <v>150</v>
      </c>
      <c r="D34" s="171"/>
      <c r="E34" s="193">
        <v>42305</v>
      </c>
      <c r="F34" s="194"/>
      <c r="G34" s="195"/>
      <c r="H34" s="193">
        <v>42396</v>
      </c>
      <c r="I34" s="194"/>
      <c r="J34" s="195"/>
      <c r="K34" s="193">
        <v>42487</v>
      </c>
      <c r="L34" s="194"/>
      <c r="M34" s="195"/>
      <c r="N34" s="193">
        <v>42580</v>
      </c>
      <c r="O34" s="194"/>
      <c r="P34" s="195"/>
      <c r="Q34" s="104"/>
      <c r="R34" s="104"/>
      <c r="S34" s="104"/>
      <c r="T34" s="104"/>
      <c r="U34" s="104"/>
    </row>
    <row r="35" spans="1:21" x14ac:dyDescent="0.25">
      <c r="A35" s="118" t="s">
        <v>25</v>
      </c>
      <c r="B35" s="119" t="s">
        <v>65</v>
      </c>
      <c r="C35" s="170" t="s">
        <v>150</v>
      </c>
      <c r="D35" s="171"/>
      <c r="E35" s="193">
        <v>42305</v>
      </c>
      <c r="F35" s="194"/>
      <c r="G35" s="195"/>
      <c r="H35" s="193">
        <v>42396</v>
      </c>
      <c r="I35" s="194"/>
      <c r="J35" s="195"/>
      <c r="K35" s="193">
        <v>42487</v>
      </c>
      <c r="L35" s="194"/>
      <c r="M35" s="195"/>
      <c r="N35" s="193">
        <v>42580</v>
      </c>
      <c r="O35" s="194"/>
      <c r="P35" s="195"/>
      <c r="Q35" s="104"/>
      <c r="R35" s="104"/>
      <c r="S35" s="104"/>
      <c r="T35" s="104"/>
      <c r="U35" s="104"/>
    </row>
    <row r="36" spans="1:21" x14ac:dyDescent="0.25">
      <c r="A36" s="113" t="s">
        <v>68</v>
      </c>
      <c r="B36" s="119" t="s">
        <v>69</v>
      </c>
      <c r="C36" s="170" t="s">
        <v>150</v>
      </c>
      <c r="D36" s="171"/>
      <c r="E36" s="193">
        <v>42293</v>
      </c>
      <c r="F36" s="194"/>
      <c r="G36" s="195"/>
      <c r="H36" s="193">
        <v>42032</v>
      </c>
      <c r="I36" s="194"/>
      <c r="J36" s="195"/>
      <c r="K36" s="196">
        <v>42564</v>
      </c>
      <c r="L36" s="197"/>
      <c r="M36" s="198"/>
      <c r="N36" s="190">
        <v>42613</v>
      </c>
      <c r="O36" s="191"/>
      <c r="P36" s="192"/>
      <c r="Q36" s="104"/>
      <c r="R36" s="104"/>
      <c r="S36" s="104"/>
      <c r="T36" s="104"/>
      <c r="U36" s="104"/>
    </row>
    <row r="37" spans="1:21" x14ac:dyDescent="0.25">
      <c r="A37" s="13" t="s">
        <v>70</v>
      </c>
      <c r="B37" s="114" t="s">
        <v>71</v>
      </c>
      <c r="C37" s="170" t="s">
        <v>150</v>
      </c>
      <c r="D37" s="171"/>
      <c r="E37" s="193">
        <v>42296</v>
      </c>
      <c r="F37" s="194"/>
      <c r="G37" s="195"/>
      <c r="H37" s="193">
        <v>42398</v>
      </c>
      <c r="I37" s="194"/>
      <c r="J37" s="195"/>
      <c r="K37" s="193">
        <v>42482</v>
      </c>
      <c r="L37" s="194"/>
      <c r="M37" s="195"/>
      <c r="N37" s="193">
        <v>42564</v>
      </c>
      <c r="O37" s="194"/>
      <c r="P37" s="195"/>
      <c r="Q37" s="104"/>
      <c r="R37" s="104"/>
      <c r="S37" s="104"/>
      <c r="T37" s="104"/>
      <c r="U37" s="104"/>
    </row>
    <row r="38" spans="1:21" x14ac:dyDescent="0.25">
      <c r="A38" s="118" t="s">
        <v>25</v>
      </c>
      <c r="B38" s="119" t="s">
        <v>76</v>
      </c>
      <c r="C38" s="170" t="s">
        <v>150</v>
      </c>
      <c r="D38" s="171"/>
      <c r="E38" s="193">
        <v>42305</v>
      </c>
      <c r="F38" s="194"/>
      <c r="G38" s="195"/>
      <c r="H38" s="193">
        <v>42396</v>
      </c>
      <c r="I38" s="194"/>
      <c r="J38" s="195"/>
      <c r="K38" s="193">
        <v>42487</v>
      </c>
      <c r="L38" s="194"/>
      <c r="M38" s="195"/>
      <c r="N38" s="193">
        <v>42580</v>
      </c>
      <c r="O38" s="194"/>
      <c r="P38" s="195"/>
      <c r="Q38" s="104"/>
      <c r="R38" s="104"/>
      <c r="S38" s="104"/>
      <c r="T38" s="104"/>
      <c r="U38" s="104"/>
    </row>
    <row r="39" spans="1:21" x14ac:dyDescent="0.25">
      <c r="A39" s="113" t="s">
        <v>25</v>
      </c>
      <c r="B39" s="119" t="s">
        <v>77</v>
      </c>
      <c r="C39" s="170" t="s">
        <v>150</v>
      </c>
      <c r="D39" s="171"/>
      <c r="E39" s="193">
        <v>42305</v>
      </c>
      <c r="F39" s="194"/>
      <c r="G39" s="195"/>
      <c r="H39" s="193">
        <v>42396</v>
      </c>
      <c r="I39" s="194"/>
      <c r="J39" s="195"/>
      <c r="K39" s="193">
        <v>42487</v>
      </c>
      <c r="L39" s="194"/>
      <c r="M39" s="195"/>
      <c r="N39" s="193">
        <v>42580</v>
      </c>
      <c r="O39" s="194"/>
      <c r="P39" s="195"/>
      <c r="Q39" s="104"/>
      <c r="R39" s="104"/>
      <c r="S39" s="104"/>
      <c r="T39" s="104"/>
      <c r="U39" s="104"/>
    </row>
    <row r="40" spans="1:21" x14ac:dyDescent="0.25">
      <c r="A40" s="113" t="s">
        <v>42</v>
      </c>
      <c r="B40" s="119" t="s">
        <v>78</v>
      </c>
      <c r="C40" s="170" t="s">
        <v>150</v>
      </c>
      <c r="D40" s="171"/>
      <c r="E40" s="193">
        <v>42299</v>
      </c>
      <c r="F40" s="194"/>
      <c r="G40" s="195"/>
      <c r="H40" s="193">
        <v>42382</v>
      </c>
      <c r="I40" s="194"/>
      <c r="J40" s="195"/>
      <c r="K40" s="193">
        <v>42478</v>
      </c>
      <c r="L40" s="194"/>
      <c r="M40" s="195"/>
      <c r="N40" s="193">
        <v>42572</v>
      </c>
      <c r="O40" s="194"/>
      <c r="P40" s="195"/>
      <c r="Q40" s="104"/>
      <c r="R40" s="104"/>
      <c r="S40" s="104"/>
      <c r="T40" s="104"/>
      <c r="U40" s="104"/>
    </row>
    <row r="41" spans="1:21" x14ac:dyDescent="0.25">
      <c r="A41" s="118" t="s">
        <v>81</v>
      </c>
      <c r="B41" s="119" t="s">
        <v>82</v>
      </c>
      <c r="C41" s="170" t="s">
        <v>150</v>
      </c>
      <c r="D41" s="171"/>
      <c r="E41" s="193">
        <v>42306</v>
      </c>
      <c r="F41" s="194"/>
      <c r="G41" s="195"/>
      <c r="H41" s="193">
        <v>42396</v>
      </c>
      <c r="I41" s="194"/>
      <c r="J41" s="195"/>
      <c r="K41" s="193">
        <v>42487</v>
      </c>
      <c r="L41" s="194"/>
      <c r="M41" s="195"/>
      <c r="N41" s="193">
        <v>42579</v>
      </c>
      <c r="O41" s="194"/>
      <c r="P41" s="195"/>
      <c r="Q41" s="104"/>
      <c r="R41" s="104"/>
      <c r="S41" s="104"/>
      <c r="T41" s="104"/>
      <c r="U41" s="104"/>
    </row>
    <row r="42" spans="1:21" x14ac:dyDescent="0.25">
      <c r="A42" s="113" t="s">
        <v>83</v>
      </c>
      <c r="B42" s="119" t="s">
        <v>84</v>
      </c>
      <c r="C42" s="170" t="s">
        <v>150</v>
      </c>
      <c r="D42" s="171"/>
      <c r="E42" s="193">
        <v>42299</v>
      </c>
      <c r="F42" s="194"/>
      <c r="G42" s="195"/>
      <c r="H42" s="193">
        <v>42395</v>
      </c>
      <c r="I42" s="194"/>
      <c r="J42" s="195"/>
      <c r="K42" s="193">
        <v>42481</v>
      </c>
      <c r="L42" s="194"/>
      <c r="M42" s="195"/>
      <c r="N42" s="193">
        <v>42558</v>
      </c>
      <c r="O42" s="194"/>
      <c r="P42" s="195"/>
      <c r="Q42" s="104"/>
      <c r="R42" s="104"/>
      <c r="S42" s="104"/>
      <c r="T42" s="104"/>
      <c r="U42" s="104"/>
    </row>
    <row r="43" spans="1:21" x14ac:dyDescent="0.25">
      <c r="A43" s="118" t="s">
        <v>25</v>
      </c>
      <c r="B43" s="119" t="s">
        <v>87</v>
      </c>
      <c r="C43" s="170" t="s">
        <v>150</v>
      </c>
      <c r="D43" s="171"/>
      <c r="E43" s="193">
        <v>42305</v>
      </c>
      <c r="F43" s="194"/>
      <c r="G43" s="195"/>
      <c r="H43" s="193">
        <v>42396</v>
      </c>
      <c r="I43" s="194"/>
      <c r="J43" s="195"/>
      <c r="K43" s="193">
        <v>42487</v>
      </c>
      <c r="L43" s="194"/>
      <c r="M43" s="195"/>
      <c r="N43" s="193">
        <v>42580</v>
      </c>
      <c r="O43" s="194"/>
      <c r="P43" s="195"/>
      <c r="Q43" s="104"/>
      <c r="R43" s="104"/>
      <c r="S43" s="104"/>
      <c r="T43" s="104"/>
      <c r="U43" s="104"/>
    </row>
    <row r="44" spans="1:21" x14ac:dyDescent="0.25">
      <c r="A44" s="113" t="s">
        <v>25</v>
      </c>
      <c r="B44" s="119" t="s">
        <v>88</v>
      </c>
      <c r="C44" s="170" t="s">
        <v>150</v>
      </c>
      <c r="D44" s="171"/>
      <c r="E44" s="193">
        <v>42305</v>
      </c>
      <c r="F44" s="194"/>
      <c r="G44" s="195"/>
      <c r="H44" s="193">
        <v>42396</v>
      </c>
      <c r="I44" s="194"/>
      <c r="J44" s="195"/>
      <c r="K44" s="193">
        <v>42487</v>
      </c>
      <c r="L44" s="194"/>
      <c r="M44" s="195"/>
      <c r="N44" s="193">
        <v>42580</v>
      </c>
      <c r="O44" s="194"/>
      <c r="P44" s="195"/>
      <c r="Q44" s="104"/>
      <c r="R44" s="104"/>
      <c r="S44" s="104"/>
      <c r="T44" s="104"/>
      <c r="U44" s="104"/>
    </row>
    <row r="45" spans="1:21" x14ac:dyDescent="0.25">
      <c r="A45" s="118" t="s">
        <v>25</v>
      </c>
      <c r="B45" s="119" t="s">
        <v>89</v>
      </c>
      <c r="C45" s="170" t="s">
        <v>150</v>
      </c>
      <c r="D45" s="171"/>
      <c r="E45" s="193">
        <v>42305</v>
      </c>
      <c r="F45" s="194"/>
      <c r="G45" s="195"/>
      <c r="H45" s="193">
        <v>42396</v>
      </c>
      <c r="I45" s="194"/>
      <c r="J45" s="195"/>
      <c r="K45" s="193">
        <v>42487</v>
      </c>
      <c r="L45" s="194"/>
      <c r="M45" s="195"/>
      <c r="N45" s="193">
        <v>42580</v>
      </c>
      <c r="O45" s="194"/>
      <c r="P45" s="195"/>
      <c r="Q45" s="104"/>
      <c r="R45" s="104"/>
      <c r="S45" s="104"/>
      <c r="T45" s="104"/>
      <c r="U45" s="104"/>
    </row>
    <row r="46" spans="1:21" x14ac:dyDescent="0.25">
      <c r="A46" s="113" t="s">
        <v>92</v>
      </c>
      <c r="B46" s="119" t="s">
        <v>93</v>
      </c>
      <c r="C46" s="170" t="s">
        <v>150</v>
      </c>
      <c r="D46" s="171"/>
      <c r="E46" s="196">
        <v>42318</v>
      </c>
      <c r="F46" s="197"/>
      <c r="G46" s="198"/>
      <c r="H46" s="193">
        <v>42398</v>
      </c>
      <c r="I46" s="194"/>
      <c r="J46" s="195"/>
      <c r="K46" s="202">
        <v>42632</v>
      </c>
      <c r="L46" s="203"/>
      <c r="M46" s="204"/>
      <c r="N46" s="205" t="s">
        <v>158</v>
      </c>
      <c r="O46" s="206"/>
      <c r="P46" s="207"/>
      <c r="Q46" s="104"/>
      <c r="R46" s="104"/>
      <c r="S46" s="104"/>
      <c r="T46" s="104"/>
      <c r="U46" s="104"/>
    </row>
    <row r="47" spans="1:21" x14ac:dyDescent="0.25">
      <c r="A47" s="118" t="s">
        <v>25</v>
      </c>
      <c r="B47" s="119" t="s">
        <v>94</v>
      </c>
      <c r="C47" s="170" t="s">
        <v>150</v>
      </c>
      <c r="D47" s="171"/>
      <c r="E47" s="193">
        <v>42305</v>
      </c>
      <c r="F47" s="194"/>
      <c r="G47" s="195"/>
      <c r="H47" s="193">
        <v>42396</v>
      </c>
      <c r="I47" s="194"/>
      <c r="J47" s="195"/>
      <c r="K47" s="193">
        <v>42487</v>
      </c>
      <c r="L47" s="194"/>
      <c r="M47" s="195"/>
      <c r="N47" s="193">
        <v>42580</v>
      </c>
      <c r="O47" s="194"/>
      <c r="P47" s="195"/>
      <c r="Q47" s="104"/>
      <c r="R47" s="104"/>
      <c r="S47" s="104"/>
      <c r="T47" s="104"/>
      <c r="U47" s="104"/>
    </row>
    <row r="48" spans="1:21" x14ac:dyDescent="0.25">
      <c r="A48" s="118" t="s">
        <v>25</v>
      </c>
      <c r="B48" s="119" t="s">
        <v>95</v>
      </c>
      <c r="C48" s="170" t="s">
        <v>150</v>
      </c>
      <c r="D48" s="171"/>
      <c r="E48" s="193">
        <v>42305</v>
      </c>
      <c r="F48" s="194"/>
      <c r="G48" s="195"/>
      <c r="H48" s="193">
        <v>42396</v>
      </c>
      <c r="I48" s="194"/>
      <c r="J48" s="195"/>
      <c r="K48" s="126"/>
      <c r="L48" s="127">
        <v>42487</v>
      </c>
      <c r="M48" s="128"/>
      <c r="N48" s="126"/>
      <c r="O48" s="127">
        <v>42580</v>
      </c>
      <c r="P48" s="128"/>
      <c r="Q48" s="104"/>
      <c r="R48" s="104"/>
      <c r="S48" s="104"/>
      <c r="T48" s="104"/>
      <c r="U48" s="104"/>
    </row>
    <row r="49" spans="1:21" x14ac:dyDescent="0.25">
      <c r="A49" s="118" t="s">
        <v>137</v>
      </c>
      <c r="B49" s="119" t="s">
        <v>97</v>
      </c>
      <c r="C49" s="170" t="s">
        <v>150</v>
      </c>
      <c r="D49" s="171"/>
      <c r="E49" s="193">
        <v>42303</v>
      </c>
      <c r="F49" s="194"/>
      <c r="G49" s="195"/>
      <c r="H49" s="193">
        <v>42398</v>
      </c>
      <c r="I49" s="194"/>
      <c r="J49" s="195"/>
      <c r="K49" s="193">
        <v>42489</v>
      </c>
      <c r="L49" s="194"/>
      <c r="M49" s="195"/>
      <c r="N49" s="193">
        <v>42580</v>
      </c>
      <c r="O49" s="194"/>
      <c r="P49" s="195"/>
      <c r="Q49" s="104"/>
      <c r="R49" s="104"/>
      <c r="S49" s="104"/>
      <c r="T49" s="104"/>
      <c r="U49" s="104"/>
    </row>
    <row r="50" spans="1:21" x14ac:dyDescent="0.25">
      <c r="A50" s="113" t="s">
        <v>25</v>
      </c>
      <c r="B50" s="119" t="s">
        <v>98</v>
      </c>
      <c r="C50" s="170" t="s">
        <v>150</v>
      </c>
      <c r="D50" s="171"/>
      <c r="E50" s="193">
        <v>42305</v>
      </c>
      <c r="F50" s="194"/>
      <c r="G50" s="195"/>
      <c r="H50" s="193">
        <v>42396</v>
      </c>
      <c r="I50" s="194"/>
      <c r="J50" s="195"/>
      <c r="K50" s="193">
        <v>42487</v>
      </c>
      <c r="L50" s="194"/>
      <c r="M50" s="195"/>
      <c r="N50" s="193">
        <v>42580</v>
      </c>
      <c r="O50" s="194"/>
      <c r="P50" s="195"/>
      <c r="Q50" s="104"/>
      <c r="R50" s="104"/>
      <c r="S50" s="104"/>
      <c r="T50" s="104"/>
      <c r="U50" s="104"/>
    </row>
    <row r="51" spans="1:21" x14ac:dyDescent="0.25">
      <c r="A51" s="113" t="s">
        <v>25</v>
      </c>
      <c r="B51" s="119" t="s">
        <v>99</v>
      </c>
      <c r="C51" s="170" t="s">
        <v>150</v>
      </c>
      <c r="D51" s="171"/>
      <c r="E51" s="193">
        <v>42305</v>
      </c>
      <c r="F51" s="194"/>
      <c r="G51" s="195"/>
      <c r="H51" s="193">
        <v>42396</v>
      </c>
      <c r="I51" s="194"/>
      <c r="J51" s="195"/>
      <c r="K51" s="193">
        <v>42487</v>
      </c>
      <c r="L51" s="194"/>
      <c r="M51" s="195"/>
      <c r="N51" s="193">
        <v>42580</v>
      </c>
      <c r="O51" s="194"/>
      <c r="P51" s="195"/>
      <c r="Q51" s="104"/>
      <c r="R51" s="104"/>
      <c r="S51" s="104"/>
      <c r="T51" s="104"/>
      <c r="U51" s="104"/>
    </row>
    <row r="52" spans="1:21" ht="15" customHeight="1" x14ac:dyDescent="0.25">
      <c r="A52" s="113" t="s">
        <v>25</v>
      </c>
      <c r="B52" s="119" t="s">
        <v>104</v>
      </c>
      <c r="C52" s="170" t="s">
        <v>150</v>
      </c>
      <c r="D52" s="171"/>
      <c r="E52" s="193">
        <v>42305</v>
      </c>
      <c r="F52" s="194"/>
      <c r="G52" s="195"/>
      <c r="H52" s="193">
        <v>42396</v>
      </c>
      <c r="I52" s="194"/>
      <c r="J52" s="195"/>
      <c r="K52" s="193">
        <v>42487</v>
      </c>
      <c r="L52" s="194"/>
      <c r="M52" s="195"/>
      <c r="N52" s="193">
        <v>42580</v>
      </c>
      <c r="O52" s="194"/>
      <c r="P52" s="195"/>
      <c r="Q52" s="104"/>
      <c r="R52" s="104"/>
      <c r="S52" s="104"/>
      <c r="T52" s="104"/>
      <c r="U52" s="104"/>
    </row>
    <row r="53" spans="1:21" x14ac:dyDescent="0.25">
      <c r="A53" s="113" t="s">
        <v>25</v>
      </c>
      <c r="B53" s="119" t="s">
        <v>108</v>
      </c>
      <c r="C53" s="170" t="s">
        <v>150</v>
      </c>
      <c r="D53" s="171"/>
      <c r="E53" s="193">
        <v>42306</v>
      </c>
      <c r="F53" s="194"/>
      <c r="G53" s="195"/>
      <c r="H53" s="193">
        <v>42396</v>
      </c>
      <c r="I53" s="194"/>
      <c r="J53" s="195"/>
      <c r="K53" s="193">
        <v>42487</v>
      </c>
      <c r="L53" s="194"/>
      <c r="M53" s="195"/>
      <c r="N53" s="193">
        <v>42580</v>
      </c>
      <c r="O53" s="194"/>
      <c r="P53" s="195"/>
      <c r="Q53" s="104"/>
      <c r="R53" s="104"/>
      <c r="S53" s="104"/>
      <c r="T53" s="104"/>
      <c r="U53" s="104"/>
    </row>
    <row r="54" spans="1:21" x14ac:dyDescent="0.25">
      <c r="A54" s="122"/>
      <c r="B54" s="123"/>
      <c r="C54" s="123"/>
      <c r="D54" s="123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04"/>
      <c r="R54" s="104"/>
      <c r="S54" s="104"/>
      <c r="T54" s="104"/>
      <c r="U54" s="104"/>
    </row>
    <row r="55" spans="1:21" x14ac:dyDescent="0.25">
      <c r="A55" s="105" t="s">
        <v>159</v>
      </c>
      <c r="B55" s="178" t="s">
        <v>1</v>
      </c>
      <c r="C55" s="179" t="s">
        <v>148</v>
      </c>
      <c r="D55" s="179"/>
      <c r="E55" s="208" t="s">
        <v>160</v>
      </c>
      <c r="F55" s="209"/>
      <c r="G55" s="209"/>
      <c r="H55" s="209"/>
      <c r="I55" s="209"/>
      <c r="J55" s="210"/>
      <c r="K55" s="208" t="s">
        <v>161</v>
      </c>
      <c r="L55" s="209"/>
      <c r="M55" s="209"/>
      <c r="N55" s="209"/>
      <c r="O55" s="209"/>
      <c r="P55" s="210"/>
      <c r="Q55" s="104"/>
      <c r="R55" s="104"/>
      <c r="S55" s="104"/>
      <c r="T55" s="104"/>
      <c r="U55" s="104"/>
    </row>
    <row r="56" spans="1:21" ht="15.75" thickBot="1" x14ac:dyDescent="0.3">
      <c r="A56" s="132" t="s">
        <v>0</v>
      </c>
      <c r="B56" s="173"/>
      <c r="C56" s="180" t="s">
        <v>149</v>
      </c>
      <c r="D56" s="181"/>
      <c r="E56" s="187">
        <v>42399</v>
      </c>
      <c r="F56" s="188"/>
      <c r="G56" s="188"/>
      <c r="H56" s="188"/>
      <c r="I56" s="188"/>
      <c r="J56" s="189"/>
      <c r="K56" s="187">
        <v>42581</v>
      </c>
      <c r="L56" s="188">
        <v>41728</v>
      </c>
      <c r="M56" s="188">
        <v>41759</v>
      </c>
      <c r="N56" s="188">
        <v>41850</v>
      </c>
      <c r="O56" s="188">
        <v>41820</v>
      </c>
      <c r="P56" s="189">
        <v>41850</v>
      </c>
      <c r="Q56" s="104"/>
      <c r="R56" s="104"/>
      <c r="S56" s="104"/>
      <c r="T56" s="104"/>
      <c r="U56" s="104"/>
    </row>
    <row r="57" spans="1:21" ht="15.75" thickTop="1" x14ac:dyDescent="0.25">
      <c r="A57" s="113" t="s">
        <v>50</v>
      </c>
      <c r="B57" s="119" t="s">
        <v>51</v>
      </c>
      <c r="C57" s="170" t="s">
        <v>150</v>
      </c>
      <c r="D57" s="171"/>
      <c r="E57" s="193">
        <v>42396</v>
      </c>
      <c r="F57" s="215"/>
      <c r="G57" s="215"/>
      <c r="H57" s="215"/>
      <c r="I57" s="215"/>
      <c r="J57" s="216"/>
      <c r="K57" s="193">
        <v>42566</v>
      </c>
      <c r="L57" s="215"/>
      <c r="M57" s="215"/>
      <c r="N57" s="215"/>
      <c r="O57" s="215"/>
      <c r="P57" s="216"/>
      <c r="Q57" s="104"/>
      <c r="R57" s="104"/>
      <c r="S57" s="104"/>
      <c r="T57" s="104"/>
      <c r="U57" s="104"/>
    </row>
    <row r="58" spans="1:21" x14ac:dyDescent="0.25">
      <c r="A58" s="118" t="s">
        <v>74</v>
      </c>
      <c r="B58" s="119" t="s">
        <v>75</v>
      </c>
      <c r="C58" s="170" t="s">
        <v>150</v>
      </c>
      <c r="D58" s="171"/>
      <c r="E58" s="193">
        <v>42423</v>
      </c>
      <c r="F58" s="215"/>
      <c r="G58" s="215"/>
      <c r="H58" s="215"/>
      <c r="I58" s="215"/>
      <c r="J58" s="216"/>
      <c r="K58" s="193">
        <v>42559</v>
      </c>
      <c r="L58" s="215"/>
      <c r="M58" s="215"/>
      <c r="N58" s="215"/>
      <c r="O58" s="215"/>
      <c r="P58" s="216"/>
      <c r="Q58" s="104"/>
      <c r="R58" s="104"/>
      <c r="S58" s="104"/>
      <c r="T58" s="104"/>
      <c r="U58" s="104"/>
    </row>
    <row r="59" spans="1:21" x14ac:dyDescent="0.25">
      <c r="A59" s="118" t="s">
        <v>85</v>
      </c>
      <c r="B59" s="119" t="s">
        <v>86</v>
      </c>
      <c r="C59" s="170" t="s">
        <v>150</v>
      </c>
      <c r="D59" s="171"/>
      <c r="E59" s="196">
        <v>42527</v>
      </c>
      <c r="F59" s="211"/>
      <c r="G59" s="211"/>
      <c r="H59" s="211"/>
      <c r="I59" s="211"/>
      <c r="J59" s="212"/>
      <c r="K59" s="202">
        <v>42597</v>
      </c>
      <c r="L59" s="213"/>
      <c r="M59" s="213"/>
      <c r="N59" s="213"/>
      <c r="O59" s="213"/>
      <c r="P59" s="214"/>
      <c r="Q59" s="104"/>
      <c r="R59" s="104"/>
      <c r="S59" s="104"/>
      <c r="T59" s="104"/>
      <c r="U59" s="104"/>
    </row>
    <row r="60" spans="1:21" x14ac:dyDescent="0.25">
      <c r="A60" s="113" t="s">
        <v>90</v>
      </c>
      <c r="B60" s="119" t="s">
        <v>91</v>
      </c>
      <c r="C60" s="170" t="s">
        <v>150</v>
      </c>
      <c r="D60" s="171"/>
      <c r="E60" s="193">
        <v>42398</v>
      </c>
      <c r="F60" s="215"/>
      <c r="G60" s="215"/>
      <c r="H60" s="215"/>
      <c r="I60" s="215"/>
      <c r="J60" s="216"/>
      <c r="K60" s="193">
        <v>42572</v>
      </c>
      <c r="L60" s="215"/>
      <c r="M60" s="215"/>
      <c r="N60" s="215"/>
      <c r="O60" s="215"/>
      <c r="P60" s="216"/>
      <c r="Q60" s="104"/>
      <c r="R60" s="104"/>
      <c r="S60" s="104"/>
      <c r="T60" s="104"/>
      <c r="U60" s="104"/>
    </row>
    <row r="61" spans="1:21" ht="15" customHeight="1" x14ac:dyDescent="0.25">
      <c r="A61" s="118" t="s">
        <v>100</v>
      </c>
      <c r="B61" s="119" t="s">
        <v>101</v>
      </c>
      <c r="C61" s="170" t="s">
        <v>150</v>
      </c>
      <c r="D61" s="171"/>
      <c r="E61" s="190">
        <v>42437</v>
      </c>
      <c r="F61" s="220"/>
      <c r="G61" s="220"/>
      <c r="H61" s="220"/>
      <c r="I61" s="220"/>
      <c r="J61" s="221"/>
      <c r="K61" s="202">
        <v>42627</v>
      </c>
      <c r="L61" s="213"/>
      <c r="M61" s="213"/>
      <c r="N61" s="213"/>
      <c r="O61" s="213"/>
      <c r="P61" s="214"/>
      <c r="Q61" s="104"/>
      <c r="R61" s="104"/>
      <c r="S61" s="104"/>
      <c r="T61" s="104"/>
      <c r="U61" s="104"/>
    </row>
    <row r="62" spans="1:21" ht="15" customHeight="1" x14ac:dyDescent="0.25">
      <c r="A62" s="118" t="s">
        <v>102</v>
      </c>
      <c r="B62" s="119" t="s">
        <v>103</v>
      </c>
      <c r="C62" s="170" t="s">
        <v>150</v>
      </c>
      <c r="D62" s="171"/>
      <c r="E62" s="193">
        <v>42396</v>
      </c>
      <c r="F62" s="194"/>
      <c r="G62" s="194"/>
      <c r="H62" s="194"/>
      <c r="I62" s="194"/>
      <c r="J62" s="195"/>
      <c r="K62" s="193">
        <v>42580</v>
      </c>
      <c r="L62" s="194"/>
      <c r="M62" s="194"/>
      <c r="N62" s="194"/>
      <c r="O62" s="194"/>
      <c r="P62" s="195"/>
      <c r="Q62" s="104"/>
      <c r="R62" s="104"/>
      <c r="S62" s="104"/>
      <c r="T62" s="104"/>
      <c r="U62" s="104"/>
    </row>
    <row r="63" spans="1:21" ht="15" customHeight="1" x14ac:dyDescent="0.25">
      <c r="A63" s="118" t="s">
        <v>105</v>
      </c>
      <c r="B63" s="119" t="s">
        <v>106</v>
      </c>
      <c r="C63" s="170" t="s">
        <v>150</v>
      </c>
      <c r="D63" s="171"/>
      <c r="E63" s="196">
        <v>42404</v>
      </c>
      <c r="F63" s="211"/>
      <c r="G63" s="211"/>
      <c r="H63" s="211"/>
      <c r="I63" s="211"/>
      <c r="J63" s="212"/>
      <c r="K63" s="217">
        <v>42660</v>
      </c>
      <c r="L63" s="218"/>
      <c r="M63" s="218"/>
      <c r="N63" s="218"/>
      <c r="O63" s="218"/>
      <c r="P63" s="219"/>
      <c r="Q63" s="104"/>
      <c r="R63" s="104"/>
      <c r="S63" s="104"/>
      <c r="T63" s="104"/>
      <c r="U63" s="104"/>
    </row>
    <row r="64" spans="1:21" ht="15" hidden="1" customHeight="1" x14ac:dyDescent="0.25">
      <c r="Q64" s="104"/>
      <c r="R64" s="104"/>
      <c r="S64" s="104"/>
      <c r="T64" s="104"/>
      <c r="U64" s="104"/>
    </row>
    <row r="65" spans="17:21" x14ac:dyDescent="0.25">
      <c r="Q65" s="104"/>
      <c r="R65" s="104"/>
      <c r="S65" s="104"/>
      <c r="T65" s="104"/>
      <c r="U65" s="104"/>
    </row>
    <row r="66" spans="17:21" x14ac:dyDescent="0.25">
      <c r="Q66" s="104"/>
      <c r="R66" s="104"/>
      <c r="S66" s="104"/>
      <c r="T66" s="104"/>
      <c r="U66" s="104"/>
    </row>
    <row r="67" spans="17:21" x14ac:dyDescent="0.25"/>
    <row r="68" spans="17:21" x14ac:dyDescent="0.25"/>
  </sheetData>
  <mergeCells count="246">
    <mergeCell ref="C63:D63"/>
    <mergeCell ref="E63:J63"/>
    <mergeCell ref="K63:P63"/>
    <mergeCell ref="C61:D61"/>
    <mergeCell ref="E61:J61"/>
    <mergeCell ref="K61:P61"/>
    <mergeCell ref="C62:D62"/>
    <mergeCell ref="E62:J62"/>
    <mergeCell ref="K62:P62"/>
    <mergeCell ref="C59:D59"/>
    <mergeCell ref="E59:J59"/>
    <mergeCell ref="K59:P59"/>
    <mergeCell ref="C60:D60"/>
    <mergeCell ref="E60:J60"/>
    <mergeCell ref="K60:P60"/>
    <mergeCell ref="E56:J56"/>
    <mergeCell ref="K56:P56"/>
    <mergeCell ref="C57:D57"/>
    <mergeCell ref="E57:J57"/>
    <mergeCell ref="K57:P57"/>
    <mergeCell ref="C58:D58"/>
    <mergeCell ref="E58:J58"/>
    <mergeCell ref="K58:P58"/>
    <mergeCell ref="C53:D53"/>
    <mergeCell ref="E53:G53"/>
    <mergeCell ref="H53:J53"/>
    <mergeCell ref="K53:M53"/>
    <mergeCell ref="N53:P53"/>
    <mergeCell ref="B55:B56"/>
    <mergeCell ref="C55:D55"/>
    <mergeCell ref="E55:J55"/>
    <mergeCell ref="K55:P55"/>
    <mergeCell ref="C56:D56"/>
    <mergeCell ref="C51:D51"/>
    <mergeCell ref="E51:G51"/>
    <mergeCell ref="H51:J51"/>
    <mergeCell ref="K51:M51"/>
    <mergeCell ref="N51:P51"/>
    <mergeCell ref="C52:D52"/>
    <mergeCell ref="E52:G52"/>
    <mergeCell ref="H52:J52"/>
    <mergeCell ref="K52:M52"/>
    <mergeCell ref="N52:P52"/>
    <mergeCell ref="K49:M49"/>
    <mergeCell ref="N49:P49"/>
    <mergeCell ref="C50:D50"/>
    <mergeCell ref="E50:G50"/>
    <mergeCell ref="H50:J50"/>
    <mergeCell ref="K50:M50"/>
    <mergeCell ref="N50:P50"/>
    <mergeCell ref="C48:D48"/>
    <mergeCell ref="E48:G48"/>
    <mergeCell ref="H48:J48"/>
    <mergeCell ref="C49:D49"/>
    <mergeCell ref="E49:G49"/>
    <mergeCell ref="H49:J49"/>
    <mergeCell ref="C46:D46"/>
    <mergeCell ref="E46:G46"/>
    <mergeCell ref="H46:J46"/>
    <mergeCell ref="K46:M46"/>
    <mergeCell ref="N46:P46"/>
    <mergeCell ref="C47:D47"/>
    <mergeCell ref="E47:G47"/>
    <mergeCell ref="H47:J47"/>
    <mergeCell ref="K47:M47"/>
    <mergeCell ref="N47:P47"/>
    <mergeCell ref="C44:D44"/>
    <mergeCell ref="E44:G44"/>
    <mergeCell ref="H44:J44"/>
    <mergeCell ref="K44:M44"/>
    <mergeCell ref="N44:P44"/>
    <mergeCell ref="C45:D45"/>
    <mergeCell ref="E45:G45"/>
    <mergeCell ref="H45:J45"/>
    <mergeCell ref="K45:M45"/>
    <mergeCell ref="N45:P45"/>
    <mergeCell ref="C42:D42"/>
    <mergeCell ref="E42:G42"/>
    <mergeCell ref="H42:J42"/>
    <mergeCell ref="K42:M42"/>
    <mergeCell ref="N42:P42"/>
    <mergeCell ref="C43:D43"/>
    <mergeCell ref="E43:G43"/>
    <mergeCell ref="H43:J43"/>
    <mergeCell ref="K43:M43"/>
    <mergeCell ref="N43:P43"/>
    <mergeCell ref="C40:D40"/>
    <mergeCell ref="E40:G40"/>
    <mergeCell ref="H40:J40"/>
    <mergeCell ref="K40:M40"/>
    <mergeCell ref="N40:P40"/>
    <mergeCell ref="C41:D41"/>
    <mergeCell ref="E41:G41"/>
    <mergeCell ref="H41:J41"/>
    <mergeCell ref="K41:M41"/>
    <mergeCell ref="N41:P41"/>
    <mergeCell ref="C38:D38"/>
    <mergeCell ref="E38:G38"/>
    <mergeCell ref="H38:J38"/>
    <mergeCell ref="K38:M38"/>
    <mergeCell ref="N38:P38"/>
    <mergeCell ref="C39:D39"/>
    <mergeCell ref="E39:G39"/>
    <mergeCell ref="H39:J39"/>
    <mergeCell ref="K39:M39"/>
    <mergeCell ref="N39:P39"/>
    <mergeCell ref="C36:D36"/>
    <mergeCell ref="E36:G36"/>
    <mergeCell ref="H36:J36"/>
    <mergeCell ref="K36:M36"/>
    <mergeCell ref="N36:P36"/>
    <mergeCell ref="C37:D37"/>
    <mergeCell ref="E37:G37"/>
    <mergeCell ref="H37:J37"/>
    <mergeCell ref="K37:M37"/>
    <mergeCell ref="N37:P37"/>
    <mergeCell ref="C34:D34"/>
    <mergeCell ref="E34:G34"/>
    <mergeCell ref="H34:J34"/>
    <mergeCell ref="K34:M34"/>
    <mergeCell ref="N34:P34"/>
    <mergeCell ref="C35:D35"/>
    <mergeCell ref="E35:G35"/>
    <mergeCell ref="H35:J35"/>
    <mergeCell ref="K35:M35"/>
    <mergeCell ref="N35:P35"/>
    <mergeCell ref="C32:D32"/>
    <mergeCell ref="E32:G32"/>
    <mergeCell ref="H32:J32"/>
    <mergeCell ref="K32:M32"/>
    <mergeCell ref="N32:P32"/>
    <mergeCell ref="C33:D33"/>
    <mergeCell ref="E33:G33"/>
    <mergeCell ref="H33:J33"/>
    <mergeCell ref="K33:M33"/>
    <mergeCell ref="N33:P33"/>
    <mergeCell ref="C30:D30"/>
    <mergeCell ref="E30:G30"/>
    <mergeCell ref="H30:J30"/>
    <mergeCell ref="K30:M30"/>
    <mergeCell ref="N30:P30"/>
    <mergeCell ref="C31:D31"/>
    <mergeCell ref="E31:G31"/>
    <mergeCell ref="H31:J31"/>
    <mergeCell ref="C28:D28"/>
    <mergeCell ref="E28:G28"/>
    <mergeCell ref="H28:J28"/>
    <mergeCell ref="K28:M28"/>
    <mergeCell ref="N28:P28"/>
    <mergeCell ref="C29:D29"/>
    <mergeCell ref="E29:G29"/>
    <mergeCell ref="H29:J29"/>
    <mergeCell ref="K29:M29"/>
    <mergeCell ref="N29:P29"/>
    <mergeCell ref="C26:D26"/>
    <mergeCell ref="E26:G26"/>
    <mergeCell ref="H26:J26"/>
    <mergeCell ref="K26:M26"/>
    <mergeCell ref="N26:P26"/>
    <mergeCell ref="C27:D27"/>
    <mergeCell ref="E27:G27"/>
    <mergeCell ref="H27:J27"/>
    <mergeCell ref="K27:M27"/>
    <mergeCell ref="N27:P27"/>
    <mergeCell ref="C24:D24"/>
    <mergeCell ref="E24:G24"/>
    <mergeCell ref="H24:J24"/>
    <mergeCell ref="K24:M24"/>
    <mergeCell ref="N24:P24"/>
    <mergeCell ref="C25:D25"/>
    <mergeCell ref="E25:G25"/>
    <mergeCell ref="H25:J25"/>
    <mergeCell ref="K25:M25"/>
    <mergeCell ref="N25:P25"/>
    <mergeCell ref="C22:D22"/>
    <mergeCell ref="E22:G22"/>
    <mergeCell ref="H22:J22"/>
    <mergeCell ref="K22:M22"/>
    <mergeCell ref="N22:P22"/>
    <mergeCell ref="C23:D23"/>
    <mergeCell ref="E23:G23"/>
    <mergeCell ref="H23:J23"/>
    <mergeCell ref="K23:M23"/>
    <mergeCell ref="N23:P23"/>
    <mergeCell ref="C20:D20"/>
    <mergeCell ref="E20:G20"/>
    <mergeCell ref="H20:J20"/>
    <mergeCell ref="K20:M20"/>
    <mergeCell ref="N20:P20"/>
    <mergeCell ref="C21:D21"/>
    <mergeCell ref="E21:G21"/>
    <mergeCell ref="H21:J21"/>
    <mergeCell ref="K21:M21"/>
    <mergeCell ref="N21:P21"/>
    <mergeCell ref="C18:D18"/>
    <mergeCell ref="E18:G18"/>
    <mergeCell ref="H18:J18"/>
    <mergeCell ref="K18:M18"/>
    <mergeCell ref="N18:P18"/>
    <mergeCell ref="C19:D19"/>
    <mergeCell ref="E19:G19"/>
    <mergeCell ref="H19:J19"/>
    <mergeCell ref="K19:M19"/>
    <mergeCell ref="N19:P19"/>
    <mergeCell ref="C16:D16"/>
    <mergeCell ref="E16:G16"/>
    <mergeCell ref="H16:J16"/>
    <mergeCell ref="K16:M16"/>
    <mergeCell ref="N16:P16"/>
    <mergeCell ref="C17:D17"/>
    <mergeCell ref="E17:G17"/>
    <mergeCell ref="H17:J17"/>
    <mergeCell ref="K17:M17"/>
    <mergeCell ref="N17:P17"/>
    <mergeCell ref="C14:D14"/>
    <mergeCell ref="E14:G14"/>
    <mergeCell ref="H14:J14"/>
    <mergeCell ref="K14:M14"/>
    <mergeCell ref="N14:P14"/>
    <mergeCell ref="C15:D15"/>
    <mergeCell ref="E15:G15"/>
    <mergeCell ref="H15:J15"/>
    <mergeCell ref="K15:M15"/>
    <mergeCell ref="N15:P15"/>
    <mergeCell ref="C6:D6"/>
    <mergeCell ref="C7:D7"/>
    <mergeCell ref="C8:D8"/>
    <mergeCell ref="C9:D9"/>
    <mergeCell ref="C10:D10"/>
    <mergeCell ref="B12:B13"/>
    <mergeCell ref="C12:D12"/>
    <mergeCell ref="A1:P1"/>
    <mergeCell ref="B2:B3"/>
    <mergeCell ref="C2:D2"/>
    <mergeCell ref="C3:D3"/>
    <mergeCell ref="C4:D4"/>
    <mergeCell ref="C5:D5"/>
    <mergeCell ref="E12:G12"/>
    <mergeCell ref="H12:J12"/>
    <mergeCell ref="K12:M12"/>
    <mergeCell ref="N12:P12"/>
    <mergeCell ref="C13:D13"/>
    <mergeCell ref="E13:G13"/>
    <mergeCell ref="H13:J13"/>
    <mergeCell ref="K13:M13"/>
    <mergeCell ref="N13:P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Detail</vt:lpstr>
      <vt:lpstr>Request Dates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M. McGrath</dc:creator>
  <cp:lastModifiedBy>Katelyn Wissler</cp:lastModifiedBy>
  <dcterms:created xsi:type="dcterms:W3CDTF">2017-03-01T17:26:24Z</dcterms:created>
  <dcterms:modified xsi:type="dcterms:W3CDTF">2017-11-07T18:57:06Z</dcterms:modified>
</cp:coreProperties>
</file>